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6" yWindow="65426" windowWidth="19420" windowHeight="10420" activeTab="0"/>
  </bookViews>
  <sheets>
    <sheet name="Eesti keeles ilmunud soome kirj" sheetId="1" r:id="rId1"/>
  </sheets>
  <definedNames>
    <definedName name="_xlnm._FilterDatabase" localSheetId="0" hidden="1">'Eesti keeles ilmunud soome kirj'!$K$1:$K$1336</definedName>
  </definedNames>
  <calcPr calcId="191029"/>
  <extLst/>
</workbook>
</file>

<file path=xl/sharedStrings.xml><?xml version="1.0" encoding="utf-8"?>
<sst xmlns="http://schemas.openxmlformats.org/spreadsheetml/2006/main" count="1313" uniqueCount="586">
  <si>
    <t>ID</t>
  </si>
  <si>
    <t>Aalto-Alanen, Heikki</t>
  </si>
  <si>
    <t>Aaltonen, Elma</t>
  </si>
  <si>
    <t>Aaltonen, Hannu</t>
  </si>
  <si>
    <t>Aaltonen, Honey</t>
  </si>
  <si>
    <t>Aapeli, pseud.</t>
  </si>
  <si>
    <t>Agapetus, [pseud.]</t>
  </si>
  <si>
    <t>Ahava, Selja</t>
  </si>
  <si>
    <t>Aho, Esko</t>
  </si>
  <si>
    <t>Aho, Juhani</t>
  </si>
  <si>
    <t>Airola, Matti</t>
  </si>
  <si>
    <t>Ala-Huissi, Jaana</t>
  </si>
  <si>
    <t>Ala-Harja, Riikka</t>
  </si>
  <si>
    <t>Alanko, Marja-Liisa</t>
  </si>
  <si>
    <t>Alkio, Santeri</t>
  </si>
  <si>
    <t>Alm, Markus</t>
  </si>
  <si>
    <t>Alpi, Eero</t>
  </si>
  <si>
    <t>Andersson, Claes</t>
  </si>
  <si>
    <t>Anhava, Helena</t>
  </si>
  <si>
    <t>Anhava, Tuomas</t>
  </si>
  <si>
    <t>Apo, Satu</t>
  </si>
  <si>
    <t>Appelgren, Tove</t>
  </si>
  <si>
    <t>Aro, Jessikka</t>
  </si>
  <si>
    <t>Arvonen, Sirpa</t>
  </si>
  <si>
    <t>Asplund, Anneli</t>
  </si>
  <si>
    <t>Auranen, Tarja</t>
  </si>
  <si>
    <t>Backman, Elina</t>
  </si>
  <si>
    <t>Backman, Martti</t>
  </si>
  <si>
    <t>Baer, Katarina</t>
  </si>
  <si>
    <t>von Bagh, Peter</t>
  </si>
  <si>
    <t>Bardy, Aleksi</t>
  </si>
  <si>
    <t>Bargum, Johan</t>
  </si>
  <si>
    <t>Berg, Maria</t>
  </si>
  <si>
    <t>Bertell, Ann-Luise</t>
  </si>
  <si>
    <t>Blomstedt, Jan</t>
  </si>
  <si>
    <t>Blum, Aivo</t>
  </si>
  <si>
    <t>Bärman, Raimo</t>
  </si>
  <si>
    <t>Cacciatore, Raisa</t>
  </si>
  <si>
    <t>Canth, Minna</t>
  </si>
  <si>
    <t>Carlson, Kristina</t>
  </si>
  <si>
    <t>Carpelan, Bo</t>
  </si>
  <si>
    <t>Diktonius, Elmer</t>
  </si>
  <si>
    <t>Donner, Jörn</t>
  </si>
  <si>
    <t>Donner, Kai</t>
  </si>
  <si>
    <t>Ehrnrooth, Jari</t>
  </si>
  <si>
    <t>Erlandsson, Karin</t>
  </si>
  <si>
    <t>Ertimo, Laura</t>
  </si>
  <si>
    <t>Etula, Kirsi</t>
  </si>
  <si>
    <t>Frantz, Eva</t>
  </si>
  <si>
    <t>Fredman, Catherine</t>
  </si>
  <si>
    <t>Furman, Ben</t>
  </si>
  <si>
    <t>Garcia Gil, Rosario</t>
  </si>
  <si>
    <t>Gummerus, K. J.</t>
  </si>
  <si>
    <t>Haahtela, Joel</t>
  </si>
  <si>
    <t>Haanpää, Pentti</t>
  </si>
  <si>
    <t>Haarla, Lauri</t>
  </si>
  <si>
    <t>Haataja, Paul-Eerik</t>
  </si>
  <si>
    <t>Haavikko, Paavo</t>
  </si>
  <si>
    <t>="Aareleid, Kai, Grünthal, Ivar , Kaldmaa, Kätlin, Kallemets, Kaja , Kaus, Jan, Kitsnik, Lauri, Kokla, Tiiu, Krull, Hasso, Künnap, Asko, Nurme, Minni, Pruul, Kajar, Rooste, Jürgen, Rummo, Paul-Eerik, Saluri, Piret, Sang, Joel, Ürt, Julius , Vaarandi, Debora, Viiding, Elo"</t>
  </si>
  <si>
    <t>Haavio, Martti</t>
  </si>
  <si>
    <t>Hai, Magdalena</t>
  </si>
  <si>
    <t>Halme, Kaarle</t>
  </si>
  <si>
    <t>Happonen, Kaisa</t>
  </si>
  <si>
    <t>Harjula, Mirko</t>
  </si>
  <si>
    <t>Harkkila, Johanna</t>
  </si>
  <si>
    <t>Hautala, Tiina</t>
  </si>
  <si>
    <t>Hautamäki, Erkki</t>
  </si>
  <si>
    <t>Havaste, Paula</t>
  </si>
  <si>
    <t>Havukainen, Aino</t>
  </si>
  <si>
    <t>Heinonen-Rivasto, Reija-Tuulia</t>
  </si>
  <si>
    <t>Heinämäki, Jaakko</t>
  </si>
  <si>
    <t>Helakisa, Kaarina</t>
  </si>
  <si>
    <t>Helanen, Vilho</t>
  </si>
  <si>
    <t>Hellsten, Tommy</t>
  </si>
  <si>
    <t>Herranen, Gun</t>
  </si>
  <si>
    <t>Himanen, Pekka</t>
  </si>
  <si>
    <t>Hietamies, Laila / Hirvisaari, Laila</t>
  </si>
  <si>
    <t>Hirvonen, Elina</t>
  </si>
  <si>
    <t>Holappa, Pentti</t>
  </si>
  <si>
    <t>Holmberg-Kalenius, Tina</t>
  </si>
  <si>
    <t>Holmberg, Niillas</t>
  </si>
  <si>
    <t>Honka, Aaro</t>
  </si>
  <si>
    <t>Honkanen, Kaarina</t>
  </si>
  <si>
    <t>Honkela, Timo</t>
  </si>
  <si>
    <t>Honko, Lauri</t>
  </si>
  <si>
    <t>Hotakainen, Kari</t>
  </si>
  <si>
    <t>Hovi, Kalervo</t>
  </si>
  <si>
    <t>Huldén, Lars</t>
  </si>
  <si>
    <t>Huotilainen, Minna</t>
  </si>
  <si>
    <t>Huovi, Hannele</t>
  </si>
  <si>
    <t>Huovinen, Maarit</t>
  </si>
  <si>
    <t>Huovinen, Pentti</t>
  </si>
  <si>
    <t>Huovinen, Veikko</t>
  </si>
  <si>
    <t>Hurme, Juha</t>
  </si>
  <si>
    <t>Hurme, Maija</t>
  </si>
  <si>
    <t>Hyry, Antti</t>
  </si>
  <si>
    <t>Hyttinen, Satu</t>
  </si>
  <si>
    <t>Hytönen, Ville</t>
  </si>
  <si>
    <t>Hyvärinen, Pekka</t>
  </si>
  <si>
    <t>Hyytiäinen, Taina</t>
  </si>
  <si>
    <t>Hämeen-Anttila, Jaakko</t>
  </si>
  <si>
    <t>Hämeen-Anttila, Virpi</t>
  </si>
  <si>
    <t>Hämäläinen, Helvi</t>
  </si>
  <si>
    <t>Hänninen, Kaarlo</t>
  </si>
  <si>
    <t>Härkönen, Anna-Leena</t>
  </si>
  <si>
    <t>Idefelt, Benedicta</t>
  </si>
  <si>
    <t>Idström, Annika</t>
  </si>
  <si>
    <t>Ihonen, Markku</t>
  </si>
  <si>
    <t>Ilves, J. M.</t>
  </si>
  <si>
    <t>Isomäki, Risto</t>
  </si>
  <si>
    <t>Istanmäki, Sisko</t>
  </si>
  <si>
    <t>Itkonen, Jukka</t>
  </si>
  <si>
    <t>Itäranta, Emmi</t>
  </si>
  <si>
    <t>Ivalo, Santeri</t>
  </si>
  <si>
    <t>Jakobson, Max</t>
  </si>
  <si>
    <t>Jalonen, Olli</t>
  </si>
  <si>
    <t>Jalonen, Riitta</t>
  </si>
  <si>
    <t>Jansson, Tove</t>
  </si>
  <si>
    <t>Jantunen, Saara</t>
  </si>
  <si>
    <t>Joenpelto, Eeva</t>
  </si>
  <si>
    <t>Joensuu, Matti Yrjänä</t>
  </si>
  <si>
    <t>Johansson, J. K.</t>
  </si>
  <si>
    <t>Jokela, Juha</t>
  </si>
  <si>
    <t>Jokinen, Allan</t>
  </si>
  <si>
    <t>Jokinen, Brita</t>
  </si>
  <si>
    <t xml:space="preserve">Jokisipilä , Markku </t>
  </si>
  <si>
    <t>Jotuni, Maria</t>
  </si>
  <si>
    <t>Joutjärvi, Marita</t>
  </si>
  <si>
    <t>Junkkari, Kaija Maria</t>
  </si>
  <si>
    <t>Junttila, Niina</t>
  </si>
  <si>
    <t>Jussila, Osmo</t>
  </si>
  <si>
    <t>Juutilainen, Antti</t>
  </si>
  <si>
    <t>Jylhä, Yrjö</t>
  </si>
  <si>
    <t>Jäntti, Riikka</t>
  </si>
  <si>
    <t>Järnefelt, Arvid</t>
  </si>
  <si>
    <t>Järviluoma, Artturi</t>
  </si>
  <si>
    <t>Järvinen, Irma</t>
  </si>
  <si>
    <t>Jääskeläinen, Pasi Ilmari</t>
  </si>
  <si>
    <t>Kaarla, Riina</t>
  </si>
  <si>
    <t>Kaarla, Sami</t>
  </si>
  <si>
    <t>Kaataja, Päivi</t>
  </si>
  <si>
    <t>Kaila, Aina</t>
  </si>
  <si>
    <t>Kaila, Panu</t>
  </si>
  <si>
    <t>Kailas, Uuno</t>
  </si>
  <si>
    <t xml:space="preserve">Kaimio, Tuire </t>
  </si>
  <si>
    <t>Kaipainen, Anu</t>
  </si>
  <si>
    <t>Kajava, Viljo</t>
  </si>
  <si>
    <t>Kallas, Aino</t>
  </si>
  <si>
    <t>Kallio, J.W.</t>
  </si>
  <si>
    <t>Kallio, Maaret</t>
  </si>
  <si>
    <t>Kallioniemi, Tuula</t>
  </si>
  <si>
    <t>Kallonen, Kari</t>
  </si>
  <si>
    <t>Kalm, Hans</t>
  </si>
  <si>
    <t>Kankimäki, Mia</t>
  </si>
  <si>
    <t>Kantokorpi, Otso</t>
  </si>
  <si>
    <t>Kaplinski, Jaan</t>
  </si>
  <si>
    <t>Karila, Juhani</t>
  </si>
  <si>
    <t>Karjalainen, Tuula</t>
  </si>
  <si>
    <t>Karukivi, Max</t>
  </si>
  <si>
    <t>Karvinen, Esa-Pekka</t>
  </si>
  <si>
    <t>Kaski, Liisa</t>
  </si>
  <si>
    <t>Kataja, Väinö</t>
  </si>
  <si>
    <t>Katz, Daniel</t>
  </si>
  <si>
    <t>Kaukonen, Martta</t>
  </si>
  <si>
    <t>Kauppala, Pekka</t>
  </si>
  <si>
    <t xml:space="preserve">Kauppis-Heikki, </t>
  </si>
  <si>
    <t>Kauranen, Anja</t>
  </si>
  <si>
    <t>Kaurinkoski, Kaarina</t>
  </si>
  <si>
    <t>Kekkonen, Sylvi</t>
  </si>
  <si>
    <t>Kekkonen, Urho</t>
  </si>
  <si>
    <t>Keskinen, Raimo</t>
  </si>
  <si>
    <t>Keskitalo, Margareta</t>
  </si>
  <si>
    <t>Keskitalo, Tapio</t>
  </si>
  <si>
    <t>Kettu, Katja</t>
  </si>
  <si>
    <t>Kianto, Ilmari</t>
  </si>
  <si>
    <t>Kihlman, Christer</t>
  </si>
  <si>
    <t>Kihlström, Marja</t>
  </si>
  <si>
    <t>Kiiskinen, Anna</t>
  </si>
  <si>
    <t>Kiiskinen, Iivari</t>
  </si>
  <si>
    <t>Kiljunen, Kimmo</t>
  </si>
  <si>
    <t>Kilpi, Eeva</t>
  </si>
  <si>
    <t>Kilpi, Volter</t>
  </si>
  <si>
    <t>Kinnunen, Saara</t>
  </si>
  <si>
    <t>Kinnunen, Tommi</t>
  </si>
  <si>
    <t>Kirkkopelto, Katri</t>
  </si>
  <si>
    <t>Kivi, Aleksis</t>
  </si>
  <si>
    <t>Kivimäki, Ville</t>
  </si>
  <si>
    <t>Kivistö, Ukko</t>
  </si>
  <si>
    <t>Klinge, Matti</t>
  </si>
  <si>
    <t>Klingenberg, Malin</t>
  </si>
  <si>
    <t>Koiso-Kanttila, Samuli</t>
  </si>
  <si>
    <t>Koistinen, Mari</t>
  </si>
  <si>
    <t>Koivisto, Mauno</t>
  </si>
  <si>
    <t>Koivisto, Meritta</t>
  </si>
  <si>
    <t>Koivisto, Sesse</t>
  </si>
  <si>
    <t>Koivu, Esko</t>
  </si>
  <si>
    <t>Koivunen, Eila</t>
  </si>
  <si>
    <t>Kojo, Viljo</t>
  </si>
  <si>
    <t>Kokko, Tatu</t>
  </si>
  <si>
    <t>Kokko, Yrjö</t>
  </si>
  <si>
    <t>Kokkonen, Terhi</t>
  </si>
  <si>
    <t>Kolu, Siri</t>
  </si>
  <si>
    <t>Kontiainen, Vesa</t>
  </si>
  <si>
    <t>Kontio, Tomi</t>
  </si>
  <si>
    <t>Korhonen, Veikko</t>
  </si>
  <si>
    <t>Korolainen, Tuula</t>
  </si>
  <si>
    <t>Korpela, Jorma</t>
  </si>
  <si>
    <t>Korteniemi-Poikela, Erja</t>
  </si>
  <si>
    <t>Koski, Markku</t>
  </si>
  <si>
    <t>Kosonen, Lasse</t>
  </si>
  <si>
    <t>Kostiainen, Jukka</t>
  </si>
  <si>
    <t>Kosunen, Kauko</t>
  </si>
  <si>
    <t>Krohn, Leena</t>
  </si>
  <si>
    <t>Kulta, Heikki</t>
  </si>
  <si>
    <t>Kummu, Essi</t>
  </si>
  <si>
    <t>Kunnas, Kaja</t>
  </si>
  <si>
    <t>Kunnas, Kirsi</t>
  </si>
  <si>
    <t>Kunnas, Mauri</t>
  </si>
  <si>
    <t>Kunnas, Noora</t>
  </si>
  <si>
    <t>Kunnas, Tarja</t>
  </si>
  <si>
    <t>Kurenniemi, Marjatta</t>
  </si>
  <si>
    <t>Kurikka, Matti</t>
  </si>
  <si>
    <t>Kurvinen, Jorma</t>
  </si>
  <si>
    <t>Kuu, Tiina</t>
  </si>
  <si>
    <t>Kyrö, Tuomas</t>
  </si>
  <si>
    <t>Kytömäki, Anni</t>
  </si>
  <si>
    <t>Kähkönen, Sirpa</t>
  </si>
  <si>
    <t>Kännö, Heikki</t>
  </si>
  <si>
    <t>Kärkkäinen, Tuomas</t>
  </si>
  <si>
    <t>Köngäs, Heidi</t>
  </si>
  <si>
    <t>Könkkölä, Kalle</t>
  </si>
  <si>
    <t>Laaksonen, Heli</t>
  </si>
  <si>
    <t>Laine, Timo</t>
  </si>
  <si>
    <t>Laitinen, Kai</t>
  </si>
  <si>
    <t>Laitinen, Niina</t>
  </si>
  <si>
    <t>Lampela, Hannele</t>
  </si>
  <si>
    <t>Lander, Leena</t>
  </si>
  <si>
    <t>Lappalainen, Mirkka</t>
  </si>
  <si>
    <t>Lappi-Seppälä, Jussi</t>
  </si>
  <si>
    <t>Larmola, Kivi</t>
  </si>
  <si>
    <t>Larni, Martti</t>
  </si>
  <si>
    <t>Lassila, Maiju</t>
  </si>
  <si>
    <t>Lauerma, Hannu</t>
  </si>
  <si>
    <t>Laulajainen, Leena</t>
  </si>
  <si>
    <t>Launonen, Krista</t>
  </si>
  <si>
    <t>Laurent, Lina</t>
  </si>
  <si>
    <t>Lehtinen, Lasse</t>
  </si>
  <si>
    <t>Lehtinen, Silva</t>
  </si>
  <si>
    <t>Lehtinen, Tuija</t>
  </si>
  <si>
    <t>Lehtolainen, Leena</t>
  </si>
  <si>
    <t>Lehtonen, Joel</t>
  </si>
  <si>
    <t>Lehtonen, Pekka</t>
  </si>
  <si>
    <t>Lehtonen, Ulla</t>
  </si>
  <si>
    <t>Lehtosaari, Pekka</t>
  </si>
  <si>
    <t>Leijon, Maarit</t>
  </si>
  <si>
    <t>Leino, Eino</t>
  </si>
  <si>
    <t>Leino, Marko</t>
  </si>
  <si>
    <t>Lemmetyinen, Eljas</t>
  </si>
  <si>
    <t>Lempinen, Marko</t>
  </si>
  <si>
    <t>Lempiäinen, Pentti</t>
  </si>
  <si>
    <t>Leo, Veronica</t>
  </si>
  <si>
    <t>Leskinen, Jari</t>
  </si>
  <si>
    <t>Levas, Santeri</t>
  </si>
  <si>
    <t>Levola, Kari</t>
  </si>
  <si>
    <t>Liehu, Rakel</t>
  </si>
  <si>
    <t>Liivik, Siim</t>
  </si>
  <si>
    <t>Liksom, Rosa</t>
  </si>
  <si>
    <t>Lilja, Pekka</t>
  </si>
  <si>
    <t>Lindblom, Lasse</t>
  </si>
  <si>
    <t>Lindgren, Minna</t>
  </si>
  <si>
    <t>Lindstedt, Laura</t>
  </si>
  <si>
    <t>Linkola, Pentti</t>
  </si>
  <si>
    <t>Linna, Väinö</t>
  </si>
  <si>
    <t>Linnankoski, Johannes</t>
  </si>
  <si>
    <t>Linnilä, Kai</t>
  </si>
  <si>
    <t>Lintunen, Martti</t>
  </si>
  <si>
    <t>Linturi, Jenni</t>
  </si>
  <si>
    <t>Lipson, Katri</t>
  </si>
  <si>
    <t>Litmanen, Jari</t>
  </si>
  <si>
    <t>Liukas, Linda</t>
  </si>
  <si>
    <t>Ljokkoi, Anniina</t>
  </si>
  <si>
    <t>Lonka, Kirsti</t>
  </si>
  <si>
    <t>Lotila, Sami</t>
  </si>
  <si>
    <t>Louko, Eeva</t>
  </si>
  <si>
    <t>Lounaja, Heikki</t>
  </si>
  <si>
    <t>Luhtanen, Sari</t>
  </si>
  <si>
    <t>Lukkarinen, Hannu</t>
  </si>
  <si>
    <t>Lundberg, Ulla-Lena</t>
  </si>
  <si>
    <t>Luntiala, Hannu</t>
  </si>
  <si>
    <t>Lydecken, Arvid</t>
  </si>
  <si>
    <t>Lyytinen, Heikki K.</t>
  </si>
  <si>
    <t>Lång, Fredrik</t>
  </si>
  <si>
    <t>Lönnrot, Elias</t>
  </si>
  <si>
    <t>Malila, Sami</t>
  </si>
  <si>
    <t>Mander, Sanna</t>
  </si>
  <si>
    <t>Manner, Eeva-Liisa</t>
  </si>
  <si>
    <t>Mannerheim, Carl Gustaf Emil</t>
  </si>
  <si>
    <t>Mannerkorpi, Juha</t>
  </si>
  <si>
    <t>Manninen, Kirsti</t>
  </si>
  <si>
    <t>Martela, Frank</t>
  </si>
  <si>
    <t>Mattila, Jukka</t>
  </si>
  <si>
    <t>Mattsson, Gunnar</t>
  </si>
  <si>
    <t>Maunonen, Tamara</t>
  </si>
  <si>
    <t>Mazzarella, Merete</t>
  </si>
  <si>
    <t>Medberg, Sara</t>
  </si>
  <si>
    <t>Meinander, Henrik</t>
  </si>
  <si>
    <t>Mela, Marjo</t>
  </si>
  <si>
    <t>Melleri, Arto</t>
  </si>
  <si>
    <t>Meri, Veijo</t>
  </si>
  <si>
    <t>Merikallio, Katri</t>
  </si>
  <si>
    <t>Mero, Niina</t>
  </si>
  <si>
    <t>Mettomäki, Sirkka-Liisa</t>
  </si>
  <si>
    <t>Mickwitz, Camilla</t>
  </si>
  <si>
    <t>Mikkola, Marja-Leena</t>
  </si>
  <si>
    <t>Mills, Molla</t>
  </si>
  <si>
    <t>Miranda, Helanda</t>
  </si>
  <si>
    <t>Montonen, Paavo</t>
  </si>
  <si>
    <t>Motai, Hiroko</t>
  </si>
  <si>
    <t>Mukka, Timo K.</t>
  </si>
  <si>
    <t>Mustapää, P.</t>
  </si>
  <si>
    <t>Myllärniemi, Jorma</t>
  </si>
  <si>
    <t>Mäkelä, Hannu</t>
  </si>
  <si>
    <t>Mäkelä, Solmu</t>
  </si>
  <si>
    <t>Mäki, Reijo</t>
  </si>
  <si>
    <t>Mäki, Teemu</t>
  </si>
  <si>
    <t>Mäkinen, Aune</t>
  </si>
  <si>
    <t>Niemelä, Reetta</t>
  </si>
  <si>
    <t>Niemi, Jussi</t>
  </si>
  <si>
    <t>Niinivaara, Eeva</t>
  </si>
  <si>
    <t>Nikkanen, Pentti</t>
  </si>
  <si>
    <t>Nopola, Sinikka</t>
  </si>
  <si>
    <t>Nopola, Tiina</t>
  </si>
  <si>
    <t>Nordgren, Ralf</t>
  </si>
  <si>
    <t>Norkola, Sari</t>
  </si>
  <si>
    <t>Nortamo, Hjalmar</t>
  </si>
  <si>
    <t>Nousiainen, Miika</t>
  </si>
  <si>
    <t>Nummi, Lassi</t>
  </si>
  <si>
    <t>Numminen, M. A.</t>
  </si>
  <si>
    <t>Nuolivaara, Auni</t>
  </si>
  <si>
    <t>Nyberg, René</t>
  </si>
  <si>
    <t>Nykänen, Harri</t>
  </si>
  <si>
    <t>Näkki, Marjo</t>
  </si>
  <si>
    <t>Oikkonen, Miikko</t>
  </si>
  <si>
    <t>Oja, Heikki</t>
  </si>
  <si>
    <t>Oja, Seppo</t>
  </si>
  <si>
    <t>Oksanen, Aulikki</t>
  </si>
  <si>
    <t>Oksanen, Sofi</t>
  </si>
  <si>
    <t xml:space="preserve">Olli, </t>
  </si>
  <si>
    <t>Ollikainen, Aki</t>
  </si>
  <si>
    <t>Ollikainen, Teemu</t>
  </si>
  <si>
    <t>Ollila, Jorma</t>
  </si>
  <si>
    <t>Olsson, Hagar</t>
  </si>
  <si>
    <t>Onerva, L.</t>
  </si>
  <si>
    <t>Onkeli, Kreetta</t>
  </si>
  <si>
    <t>Oranen, Raija</t>
  </si>
  <si>
    <t>Otava, Merja</t>
  </si>
  <si>
    <t>Paasilinna, Arto</t>
  </si>
  <si>
    <t>Paasilinna, Erno</t>
  </si>
  <si>
    <t>Paavilainen, Ulla-Maija</t>
  </si>
  <si>
    <t>Paavolainen, Olavi</t>
  </si>
  <si>
    <t>Pakkala, Teuvo</t>
  </si>
  <si>
    <t>Pakkanen, Kaija</t>
  </si>
  <si>
    <t>Palanterä, Jaana</t>
  </si>
  <si>
    <t>Paloheimo, Eero</t>
  </si>
  <si>
    <t>Palolampi, Erkki</t>
  </si>
  <si>
    <t>Pantzar, Katja</t>
  </si>
  <si>
    <t>Parkkinen, Jukka</t>
  </si>
  <si>
    <t>Parvela, Timo</t>
  </si>
  <si>
    <t>Pekkala, Janne</t>
  </si>
  <si>
    <t>Pekkanen, Toivo</t>
  </si>
  <si>
    <t>Pekkarinen, Jussi</t>
  </si>
  <si>
    <t>Pelliccioni, Sanna</t>
  </si>
  <si>
    <t>Pelo, Riikka</t>
  </si>
  <si>
    <t>Pelto-Timperi, Kristiina</t>
  </si>
  <si>
    <t>Peltonen, Juhani</t>
  </si>
  <si>
    <t>Peltonen-Rognoni, Pirkko</t>
  </si>
  <si>
    <t>Pennanen, Eila</t>
  </si>
  <si>
    <t>Pentikäinen, Juha</t>
  </si>
  <si>
    <t>Pere, Tuula</t>
  </si>
  <si>
    <t>Perhoniemi, Tuukka</t>
  </si>
  <si>
    <t>Perkiö, Pia</t>
  </si>
  <si>
    <t>Perttula, Pirkko-Liisa</t>
  </si>
  <si>
    <t>Pesonen, Emmi</t>
  </si>
  <si>
    <t>Pettersson, Maria</t>
  </si>
  <si>
    <t>Peura, Matti Juhani</t>
  </si>
  <si>
    <t>Piippo, Sinikka</t>
  </si>
  <si>
    <t>Pitkänen, Ilkka</t>
  </si>
  <si>
    <t>Pohjonen, Juha</t>
  </si>
  <si>
    <t>Portin, Anja</t>
  </si>
  <si>
    <t>Porvali, Mikko</t>
  </si>
  <si>
    <t>Pruuki, Heli</t>
  </si>
  <si>
    <t>Puhakka, Jouko</t>
  </si>
  <si>
    <t>Pulkkinen, Riikka</t>
  </si>
  <si>
    <t>Putkonen, Leena</t>
  </si>
  <si>
    <t>Päivänsalo, B. H.</t>
  </si>
  <si>
    <t>Päivärinta, Pietari</t>
  </si>
  <si>
    <t>Pälsi, Sakari</t>
  </si>
  <si>
    <t>Päätalo, Kalle</t>
  </si>
  <si>
    <t>Pörsti, Laura</t>
  </si>
  <si>
    <t>Pörsti, Miikka</t>
  </si>
  <si>
    <t>Raento, Esko</t>
  </si>
  <si>
    <t>Raig, Kulle</t>
  </si>
  <si>
    <t>Raine, Anne</t>
  </si>
  <si>
    <t xml:space="preserve">Rainio, Sari </t>
  </si>
  <si>
    <t>Raittila, Anna-Maija</t>
  </si>
  <si>
    <t>Raittila, Hannu</t>
  </si>
  <si>
    <t>Raivio, J. P.</t>
  </si>
  <si>
    <t>Raivio, Jouko</t>
  </si>
  <si>
    <t>Rantanen, Miska</t>
  </si>
  <si>
    <t>Rapo, Anssi</t>
  </si>
  <si>
    <t xml:space="preserve">Rautaheimo, Juha </t>
  </si>
  <si>
    <t>Rautavaara, Toivo</t>
  </si>
  <si>
    <t>Rautkallio, Hannu</t>
  </si>
  <si>
    <t>Rehunen, Kirsi</t>
  </si>
  <si>
    <t>Reijonen, Tuuli</t>
  </si>
  <si>
    <t>Rekiaro, Ilkka</t>
  </si>
  <si>
    <t>Rekola, Mirkka</t>
  </si>
  <si>
    <t>Remes, Ilkka</t>
  </si>
  <si>
    <t>Remy, Johannes</t>
  </si>
  <si>
    <t>Rentola, Kimmo</t>
  </si>
  <si>
    <t>Rimminen, Mikko</t>
  </si>
  <si>
    <t>Ringell, Susanne</t>
  </si>
  <si>
    <t>Rinne, Hannu</t>
  </si>
  <si>
    <t>Rinne, Harri</t>
  </si>
  <si>
    <t>Rintala, Paavo</t>
  </si>
  <si>
    <t>Rislakki, Jukka</t>
  </si>
  <si>
    <t>Roine, Raul</t>
  </si>
  <si>
    <t>Roselius, Aapo</t>
  </si>
  <si>
    <t>Rosenberg, Joel</t>
  </si>
  <si>
    <t>Rosenlund, Marcus</t>
  </si>
  <si>
    <t>Rumjantseva, Ljudmila</t>
  </si>
  <si>
    <t>Ruotsalainen, Satu</t>
  </si>
  <si>
    <t>Ruusuvuori, Juha</t>
  </si>
  <si>
    <t>Ruuth, Alpo</t>
  </si>
  <si>
    <t>Rönkä, Matti</t>
  </si>
  <si>
    <t>Saari, Mauno</t>
  </si>
  <si>
    <t>Saarikoski, Pentti</t>
  </si>
  <si>
    <t>Saarinen, Esa</t>
  </si>
  <si>
    <t>Sainio, Ulla</t>
  </si>
  <si>
    <t>Saisio, Pirkko</t>
  </si>
  <si>
    <t>Salama, Hannu</t>
  </si>
  <si>
    <t>Salminen, Johannes</t>
  </si>
  <si>
    <t>Salminen, Sally</t>
  </si>
  <si>
    <t>Salminen, Tyyne Maija</t>
  </si>
  <si>
    <t>Salo, Mea</t>
  </si>
  <si>
    <t>Salo, Ulla</t>
  </si>
  <si>
    <t>Salokannel, Juhani</t>
  </si>
  <si>
    <t>Sammalkorpi, Virve</t>
  </si>
  <si>
    <t>Sandman Lilius, Irmelin</t>
  </si>
  <si>
    <t xml:space="preserve">Sandström, Tuukka </t>
  </si>
  <si>
    <t>Saraste, Heini</t>
  </si>
  <si>
    <t>Sariola, Mauri</t>
  </si>
  <si>
    <t>Sarjanen, Petri</t>
  </si>
  <si>
    <t>Sarve, Anna</t>
  </si>
  <si>
    <t>Saukkomaa, Harri</t>
  </si>
  <si>
    <t>Savolainen, Salla</t>
  </si>
  <si>
    <t>Seeck, Max</t>
  </si>
  <si>
    <t>Seppänen, Esa</t>
  </si>
  <si>
    <t>Seppänen, Unto</t>
  </si>
  <si>
    <t>Setälä, Päivi</t>
  </si>
  <si>
    <t>Sharma, Leena</t>
  </si>
  <si>
    <t>Siekkinen, Raija</t>
  </si>
  <si>
    <t>Sihvo, Marketta</t>
  </si>
  <si>
    <t>Siilasmaa, Risto</t>
  </si>
  <si>
    <t>Siippainen, Olavi</t>
  </si>
  <si>
    <t>Siira, Virpi Marjaana</t>
  </si>
  <si>
    <t>Sillanpää, Frans Emil</t>
  </si>
  <si>
    <t>Silvennoinen, Oula</t>
  </si>
  <si>
    <t>Simukka, Salla</t>
  </si>
  <si>
    <t>Sinervo, Elvi</t>
  </si>
  <si>
    <t>Sinikoski, Ari-Pekka</t>
  </si>
  <si>
    <t>Sinkkonen, Jari</t>
  </si>
  <si>
    <t>Sirola, Harri</t>
  </si>
  <si>
    <t>Siukonen, Jyrki</t>
  </si>
  <si>
    <t>Skiftesvik, Joni</t>
  </si>
  <si>
    <t>Smolander-Slotte, Riikka</t>
  </si>
  <si>
    <t>Snellman, Maami</t>
  </si>
  <si>
    <t>Soini, Yrjö</t>
  </si>
  <si>
    <t>Sonninen, Lotta</t>
  </si>
  <si>
    <t>Sortland, Bjørn</t>
  </si>
  <si>
    <t>Starck, Kjell</t>
  </si>
  <si>
    <t>Statovci, Pajtim</t>
  </si>
  <si>
    <t>Ståhlberg, Ester</t>
  </si>
  <si>
    <t>Sund, Lars</t>
  </si>
  <si>
    <t xml:space="preserve">Suonio, </t>
  </si>
  <si>
    <t>Suosalmi, Kerttu-Kaarina</t>
  </si>
  <si>
    <t>Surojegin, Pirkko-Liisa</t>
  </si>
  <si>
    <t>Swan, Anni</t>
  </si>
  <si>
    <t>Szalai, Kiti</t>
  </si>
  <si>
    <t>Säisä, Eino</t>
  </si>
  <si>
    <t>Södergran, Edith</t>
  </si>
  <si>
    <t>Takanen, Kimmo</t>
  </si>
  <si>
    <t>Talvi, Jussi</t>
  </si>
  <si>
    <t>Talvio, Maila</t>
  </si>
  <si>
    <t>Talvitie, Eveliina</t>
  </si>
  <si>
    <t>Tamminen, J. K.</t>
  </si>
  <si>
    <t>Tamminen, Tapio</t>
  </si>
  <si>
    <t>Tanner, K. O.</t>
  </si>
  <si>
    <t>Tanner, Väinö</t>
  </si>
  <si>
    <t>Tapola, Katri</t>
  </si>
  <si>
    <t>Tarasti, Eero</t>
  </si>
  <si>
    <t>Tarkiainen, Kari</t>
  </si>
  <si>
    <t>Tarkiainen, Ülle</t>
  </si>
  <si>
    <t>Tavi, Henriikka</t>
  </si>
  <si>
    <t>Tenhunen, Eeva</t>
  </si>
  <si>
    <t>Terras, Antto</t>
  </si>
  <si>
    <t>Tervo, Jari</t>
  </si>
  <si>
    <t>Tetri, Salme</t>
  </si>
  <si>
    <t>Thauvón-Suits, Aino</t>
  </si>
  <si>
    <t>Tiainen, Marja-Leena</t>
  </si>
  <si>
    <t>Tiitinen, Esko-Pekka</t>
  </si>
  <si>
    <t>Tiitus, pseud.</t>
  </si>
  <si>
    <t>Tikka, Eeva</t>
  </si>
  <si>
    <t>Tikka, Marko</t>
  </si>
  <si>
    <t>Tikkanen, Märta</t>
  </si>
  <si>
    <t>Toikkanen, Pirjo</t>
  </si>
  <si>
    <t>Toivanen, Erkki</t>
  </si>
  <si>
    <t>Toivonen, Sami</t>
  </si>
  <si>
    <t>Tolonen, Tuutikki</t>
  </si>
  <si>
    <t>Topelius, Zacharias</t>
  </si>
  <si>
    <t>Toppila, Heikki</t>
  </si>
  <si>
    <t>Tuli, Felix</t>
  </si>
  <si>
    <t>Tuomainen, Antti</t>
  </si>
  <si>
    <t>Tuomioja, Erkki</t>
  </si>
  <si>
    <t>Tuomioja, Vappu</t>
  </si>
  <si>
    <t>Turtiainen, Arvo</t>
  </si>
  <si>
    <t>Turtola, Martti</t>
  </si>
  <si>
    <t>Turtschaninoff, Maria</t>
  </si>
  <si>
    <t>Turunen, Saara</t>
  </si>
  <si>
    <t>Turunen, Seppo</t>
  </si>
  <si>
    <t>Tuura, Kirsi</t>
  </si>
  <si>
    <t>Tuuri, Antti</t>
  </si>
  <si>
    <t>Uotila, Maire</t>
  </si>
  <si>
    <t>Utrio, Kaari</t>
  </si>
  <si>
    <t>Uurto, Iris</t>
  </si>
  <si>
    <t>Vaaskivi, Tatu</t>
  </si>
  <si>
    <t>Vakkuri, Juha</t>
  </si>
  <si>
    <t>Vala, Katri</t>
  </si>
  <si>
    <t>Valkama, Meri</t>
  </si>
  <si>
    <t>Valkeapää-Etula, Sunna</t>
  </si>
  <si>
    <t>Valkeapää, Nils-Aslak</t>
  </si>
  <si>
    <t>Valtonen, Hilja</t>
  </si>
  <si>
    <t>Varis, Tuula-Liina</t>
  </si>
  <si>
    <t>Varpu, Maarit</t>
  </si>
  <si>
    <t>Vartio, Marja-Liisa</t>
  </si>
  <si>
    <t>Vehkoo, Johanna</t>
  </si>
  <si>
    <t>Venho, Johanna</t>
  </si>
  <si>
    <t>Vestola, Ulla</t>
  </si>
  <si>
    <t>Vettenniemi, Erkki</t>
  </si>
  <si>
    <t>Vihavainen, Timo</t>
  </si>
  <si>
    <t>Viherjuuri, Heidi</t>
  </si>
  <si>
    <t>Viikilä, Jukka</t>
  </si>
  <si>
    <t xml:space="preserve">Vilén, Jari </t>
  </si>
  <si>
    <t>Virtanen, Leea</t>
  </si>
  <si>
    <t>Virtanen, Merja</t>
  </si>
  <si>
    <t>Vuohelainen, Raisa</t>
  </si>
  <si>
    <t>Vuorela, Einari</t>
  </si>
  <si>
    <t>Vuori, Katariina</t>
  </si>
  <si>
    <t>Vuori, Martti</t>
  </si>
  <si>
    <t>Vuorikuru, Silja</t>
  </si>
  <si>
    <t>Vuorinen, Juha</t>
  </si>
  <si>
    <t>Värri, Veli-Matti</t>
  </si>
  <si>
    <t>Wahlström, Erik</t>
  </si>
  <si>
    <t xml:space="preserve">Waltari, Mika / Nauticus, </t>
  </si>
  <si>
    <t>Westö, Kjell</t>
  </si>
  <si>
    <t>Wiik, Kalevi</t>
  </si>
  <si>
    <t>Wilkuna, Kyösti</t>
  </si>
  <si>
    <t>Willman, Elviira</t>
  </si>
  <si>
    <t>von Wright, Georg Henrik</t>
  </si>
  <si>
    <t>Wuolijoki, Hella</t>
  </si>
  <si>
    <t>Yliluoma, Susanna</t>
  </si>
  <si>
    <t>Yliruusi, Tauno</t>
  </si>
  <si>
    <t>Zetterberg, Seppo</t>
  </si>
  <si>
    <t>Maarja Aaloe</t>
  </si>
  <si>
    <t>AUTOR</t>
  </si>
  <si>
    <t>ORIGINAALI TIITEL</t>
  </si>
  <si>
    <t>KEEL</t>
  </si>
  <si>
    <t>ŽANR</t>
  </si>
  <si>
    <t>SIHTRÜHM</t>
  </si>
  <si>
    <t>AASTA</t>
  </si>
  <si>
    <t>TÕLKENIMI</t>
  </si>
  <si>
    <t>TÕLKIJA</t>
  </si>
  <si>
    <t>KIRJASTAJA</t>
  </si>
  <si>
    <t>TRÜKK (s.)</t>
  </si>
  <si>
    <t>IS-NUMBER</t>
  </si>
  <si>
    <t>ESMATRÜKK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</si>
</sst>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6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ldpealkiri" xfId="20"/>
    <cellStyle name="Pealkiri 1" xfId="21"/>
    <cellStyle name="Pealkiri 2" xfId="22"/>
    <cellStyle name="Pealkiri 3" xfId="23"/>
    <cellStyle name="Pealkiri 4" xfId="24"/>
    <cellStyle name="Hea" xfId="25"/>
    <cellStyle name="Halb" xfId="26"/>
    <cellStyle name="Neutraalne" xfId="27"/>
    <cellStyle name="Sisend" xfId="28"/>
    <cellStyle name="Väljund" xfId="29"/>
    <cellStyle name="Arvutus" xfId="30"/>
    <cellStyle name="Lingitud lahter" xfId="31"/>
    <cellStyle name="Kontrolli lahtrit" xfId="32"/>
    <cellStyle name="Hoiatuse tekst" xfId="33"/>
    <cellStyle name="Märkus" xfId="34"/>
    <cellStyle name="Selgitav tekst" xfId="35"/>
    <cellStyle name="Kokku" xfId="36"/>
    <cellStyle name="Rõhk1" xfId="37"/>
    <cellStyle name="20% – rõhk1" xfId="38"/>
    <cellStyle name="40% – rõhk1" xfId="39"/>
    <cellStyle name="60% – rõhk1" xfId="40"/>
    <cellStyle name="Rõhk2" xfId="41"/>
    <cellStyle name="20% – rõhk2" xfId="42"/>
    <cellStyle name="40% – rõhk2" xfId="43"/>
    <cellStyle name="60% – rõhk2" xfId="44"/>
    <cellStyle name="Rõhk3" xfId="45"/>
    <cellStyle name="20% – rõhk3" xfId="46"/>
    <cellStyle name="40% – rõhk3" xfId="47"/>
    <cellStyle name="60% – rõhk3" xfId="48"/>
    <cellStyle name="Rõhk4" xfId="49"/>
    <cellStyle name="20% – rõhk4" xfId="50"/>
    <cellStyle name="40% – rõhk4" xfId="51"/>
    <cellStyle name="60% – rõhk4" xfId="52"/>
    <cellStyle name="Rõhk5" xfId="53"/>
    <cellStyle name="20% – rõhk5" xfId="54"/>
    <cellStyle name="40% – rõhk5" xfId="55"/>
    <cellStyle name="60% – rõhk5" xfId="56"/>
    <cellStyle name="Rõhk6" xfId="57"/>
    <cellStyle name="20% – rõhk6" xfId="58"/>
    <cellStyle name="40% – rõhk6" xfId="59"/>
    <cellStyle name="60% – rõhk6" xfId="60"/>
    <cellStyle name="Hü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hvaraamat.ee/a/translators/maarja-aaloe/1467434/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4"/>
  <sheetViews>
    <sheetView tabSelected="1" workbookViewId="0" topLeftCell="A1">
      <selection activeCell="G6" sqref="G6"/>
    </sheetView>
  </sheetViews>
  <sheetFormatPr defaultColWidth="9.140625" defaultRowHeight="15"/>
  <cols>
    <col min="1" max="1" width="20.8515625" style="0" customWidth="1"/>
    <col min="3" max="3" width="12.140625" style="0" customWidth="1"/>
    <col min="4" max="4" width="17.8515625" style="0" customWidth="1"/>
    <col min="6" max="6" width="28.140625" style="0" customWidth="1"/>
    <col min="7" max="7" width="14.421875" style="0" customWidth="1"/>
    <col min="9" max="9" width="22.8515625" style="0" customWidth="1"/>
    <col min="10" max="10" width="17.7109375" style="0" customWidth="1"/>
    <col min="11" max="11" width="17.00390625" style="0" customWidth="1"/>
  </cols>
  <sheetData>
    <row r="1" spans="1:13" ht="15">
      <c r="A1" t="s">
        <v>574</v>
      </c>
      <c r="B1" t="s">
        <v>0</v>
      </c>
      <c r="C1" t="s">
        <v>585</v>
      </c>
      <c r="D1" t="s">
        <v>575</v>
      </c>
      <c r="E1" t="s">
        <v>576</v>
      </c>
      <c r="F1" t="s">
        <v>577</v>
      </c>
      <c r="G1" t="s">
        <v>578</v>
      </c>
      <c r="H1" t="s">
        <v>579</v>
      </c>
      <c r="I1" t="s">
        <v>580</v>
      </c>
      <c r="J1" t="s">
        <v>581</v>
      </c>
      <c r="K1" t="s">
        <v>582</v>
      </c>
      <c r="L1" t="s">
        <v>583</v>
      </c>
      <c r="M1" t="s">
        <v>584</v>
      </c>
    </row>
    <row r="2" spans="1:13" ht="15">
      <c r="A2" t="s">
        <v>38</v>
      </c>
      <c r="B2" t="str">
        <f>"6596"</f>
        <v>6596</v>
      </c>
      <c r="C2" t="str">
        <f>"1885"</f>
        <v>1885</v>
      </c>
      <c r="D2" t="str">
        <f>"Työmiehen vaimo : näytelmä viidessä näytöksessä"</f>
        <v>Työmiehen vaimo : näytelmä viidessä näytöksessä</v>
      </c>
      <c r="E2" t="str">
        <f aca="true" t="shared" si="0" ref="E2:E9">"viro"</f>
        <v>viro</v>
      </c>
      <c r="F2" t="str">
        <f>"näidendid; draama"</f>
        <v>näidendid; draama</v>
      </c>
      <c r="G2" t="str">
        <f>"  täiskasvanud"</f>
        <v xml:space="preserve">  täiskasvanud</v>
      </c>
      <c r="H2" t="str">
        <f>"0"</f>
        <v>0</v>
      </c>
      <c r="I2" t="str">
        <f>"Töömehe naene"</f>
        <v>Töömehe naene</v>
      </c>
      <c r="J2" t="str">
        <f>"Tagametsa, Tiit"</f>
        <v>Tagametsa, Tiit</v>
      </c>
      <c r="K2" t="str">
        <f>"Leoke, Viljandi"</f>
        <v>Leoke, Viljandi</v>
      </c>
      <c r="L2" t="str">
        <f>""</f>
        <v/>
      </c>
      <c r="M2" t="str">
        <f>""</f>
        <v/>
      </c>
    </row>
    <row r="3" spans="1:13" ht="15">
      <c r="A3" t="s">
        <v>497</v>
      </c>
      <c r="B3" t="str">
        <f>"6758"</f>
        <v>6758</v>
      </c>
      <c r="C3" t="str">
        <f>"1902"</f>
        <v>1902</v>
      </c>
      <c r="D3" t="str">
        <f>"Pestuupäivä Rannanpäässä"</f>
        <v>Pestuupäivä Rannanpäässä</v>
      </c>
      <c r="E3" t="str">
        <f t="shared" si="0"/>
        <v>viro</v>
      </c>
      <c r="F3" t="str">
        <f>"näidendid; draama"</f>
        <v>näidendid; draama</v>
      </c>
      <c r="G3" t="str">
        <f>"  täiskasvanud"</f>
        <v xml:space="preserve">  täiskasvanud</v>
      </c>
      <c r="H3" t="str">
        <f>"0"</f>
        <v>0</v>
      </c>
      <c r="I3" t="str">
        <f>"Rannapea talus"</f>
        <v>Rannapea talus</v>
      </c>
      <c r="J3" t="str">
        <f>"Uuetoa, A."</f>
        <v>Uuetoa, A.</v>
      </c>
      <c r="K3" t="str">
        <f>"[s.n.], Tallinn"</f>
        <v>[s.n.], Tallinn</v>
      </c>
      <c r="L3" t="str">
        <f>""</f>
        <v/>
      </c>
      <c r="M3" t="str">
        <f>""</f>
        <v/>
      </c>
    </row>
    <row r="4" spans="1:13" ht="15">
      <c r="A4" t="s">
        <v>563</v>
      </c>
      <c r="B4" t="str">
        <f>"10298"</f>
        <v>10298</v>
      </c>
      <c r="C4" t="str">
        <f>"1937"</f>
        <v>1937</v>
      </c>
      <c r="D4" t="str">
        <f>"Kuriton sukupolvi : vakava komedia : 3 näytöstä (7 kuvaelmaa)"</f>
        <v>Kuriton sukupolvi : vakava komedia : 3 näytöstä (7 kuvaelmaa)</v>
      </c>
      <c r="E4" t="str">
        <f t="shared" si="0"/>
        <v>viro</v>
      </c>
      <c r="F4" t="str">
        <f>"näidendid; draama"</f>
        <v>näidendid; draama</v>
      </c>
      <c r="G4" t="str">
        <f>"  täiskasvanud"</f>
        <v xml:space="preserve">  täiskasvanud</v>
      </c>
      <c r="H4" t="str">
        <f>"0"</f>
        <v>0</v>
      </c>
      <c r="I4" t="str">
        <f>"Distsiplineerimatu sugupõlv"</f>
        <v>Distsiplineerimatu sugupõlv</v>
      </c>
      <c r="J4" t="str">
        <f>"Korsen, A."</f>
        <v>Korsen, A.</v>
      </c>
      <c r="K4" t="str">
        <f>"Mutsu, Tallinn"</f>
        <v>Mutsu, Tallinn</v>
      </c>
      <c r="L4" t="str">
        <f>""</f>
        <v/>
      </c>
      <c r="M4" t="str">
        <f>""</f>
        <v/>
      </c>
    </row>
    <row r="5" spans="1:13" ht="15">
      <c r="A5" t="s">
        <v>185</v>
      </c>
      <c r="B5" t="str">
        <f>"6661"</f>
        <v>6661</v>
      </c>
      <c r="C5" t="str">
        <f>"1867"</f>
        <v>1867</v>
      </c>
      <c r="D5" t="str">
        <f>"Yö ja päivä : näytelmä yhdessä näytöksessä"</f>
        <v>Yö ja päivä : näytelmä yhdessä näytöksessä</v>
      </c>
      <c r="E5" t="str">
        <f t="shared" si="0"/>
        <v>viro</v>
      </c>
      <c r="F5" t="str">
        <f>"näidendid; draama"</f>
        <v>näidendid; draama</v>
      </c>
      <c r="G5" t="str">
        <f>"  täiskasvanud"</f>
        <v xml:space="preserve">  täiskasvanud</v>
      </c>
      <c r="H5" t="str">
        <f>"1884"</f>
        <v>1884</v>
      </c>
      <c r="I5" t="str">
        <f>"Öö ja päew"</f>
        <v>Öö ja päew</v>
      </c>
      <c r="J5" t="str">
        <f>"Lillenupp, M."</f>
        <v>Lillenupp, M.</v>
      </c>
      <c r="K5" t="str">
        <f>"Näitlejate ühendus, Tartu"</f>
        <v>Näitlejate ühendus, Tartu</v>
      </c>
      <c r="L5" t="str">
        <f>""</f>
        <v/>
      </c>
      <c r="M5" t="str">
        <f>""</f>
        <v/>
      </c>
    </row>
    <row r="6" spans="1:13" ht="15">
      <c r="A6" t="s">
        <v>292</v>
      </c>
      <c r="B6" t="str">
        <f>"10533"</f>
        <v>10533</v>
      </c>
      <c r="C6" t="str">
        <f>"1849"</f>
        <v>1849</v>
      </c>
      <c r="D6" t="str">
        <f>"Kalevala"</f>
        <v>Kalevala</v>
      </c>
      <c r="E6" t="str">
        <f t="shared" si="0"/>
        <v>viro</v>
      </c>
      <c r="F6" t="str">
        <f>"luule, rahvaluule"</f>
        <v>luule, rahvaluule</v>
      </c>
      <c r="G6" t="str">
        <f>"  täiskasvanud"</f>
        <v xml:space="preserve">  täiskasvanud</v>
      </c>
      <c r="H6" t="str">
        <f>"1889"</f>
        <v>1889</v>
      </c>
      <c r="I6" t="str">
        <f>"Wõitlemine walguse pärast"</f>
        <v>Wõitlemine walguse pärast</v>
      </c>
      <c r="J6" t="str">
        <f>"Eisen, Matthias Johann"</f>
        <v>Eisen, Matthias Johann</v>
      </c>
      <c r="K6" t="str">
        <f>"Schnakenburg, Tartus"</f>
        <v>Schnakenburg, Tartus</v>
      </c>
      <c r="L6" t="str">
        <f>""</f>
        <v/>
      </c>
      <c r="M6" t="str">
        <f>""</f>
        <v/>
      </c>
    </row>
    <row r="7" spans="1:13" ht="15">
      <c r="A7" t="s">
        <v>292</v>
      </c>
      <c r="B7" t="str">
        <f>"10534"</f>
        <v>10534</v>
      </c>
      <c r="C7" t="str">
        <f>"1849"</f>
        <v>1849</v>
      </c>
      <c r="D7" t="str">
        <f>"Kalevala"</f>
        <v>Kalevala</v>
      </c>
      <c r="E7" t="str">
        <f t="shared" si="0"/>
        <v>viro</v>
      </c>
      <c r="F7" t="str">
        <f>"luule, rahvaluule"</f>
        <v>luule, rahvaluule</v>
      </c>
      <c r="G7" t="str">
        <f>"  täiskasvanud"</f>
        <v xml:space="preserve">  täiskasvanud</v>
      </c>
      <c r="H7" t="str">
        <f>"1889"</f>
        <v>1889</v>
      </c>
      <c r="I7" t="str">
        <f>"Kalewala"</f>
        <v>Kalewala</v>
      </c>
      <c r="J7" t="str">
        <f>"Eisen, Matthias Johann"</f>
        <v>Eisen, Matthias Johann</v>
      </c>
      <c r="K7" t="str">
        <f>""</f>
        <v/>
      </c>
      <c r="L7" t="str">
        <f>""</f>
        <v/>
      </c>
      <c r="M7" t="str">
        <f>""</f>
        <v/>
      </c>
    </row>
    <row r="8" spans="1:13" ht="15">
      <c r="A8" t="s">
        <v>292</v>
      </c>
      <c r="B8" t="str">
        <f>"10535"</f>
        <v>10535</v>
      </c>
      <c r="C8" t="str">
        <f>"1849"</f>
        <v>1849</v>
      </c>
      <c r="D8" t="str">
        <f>"Kalevala"</f>
        <v>Kalevala</v>
      </c>
      <c r="E8" t="str">
        <f t="shared" si="0"/>
        <v>viro</v>
      </c>
      <c r="F8" t="str">
        <f>"luule, rahvaluule"</f>
        <v>luule, rahvaluule</v>
      </c>
      <c r="G8" t="str">
        <f>"  täiskasvanud"</f>
        <v xml:space="preserve">  täiskasvanud</v>
      </c>
      <c r="H8" t="str">
        <f>"1889"</f>
        <v>1889</v>
      </c>
      <c r="I8" t="str">
        <f>"Kalewala"</f>
        <v>Kalewala</v>
      </c>
      <c r="J8" t="str">
        <f>"Eisen, Matthias Johann"</f>
        <v>Eisen, Matthias Johann</v>
      </c>
      <c r="K8" t="str">
        <f>""</f>
        <v/>
      </c>
      <c r="L8" t="str">
        <f>""</f>
        <v/>
      </c>
      <c r="M8" t="str">
        <f>""</f>
        <v/>
      </c>
    </row>
    <row r="9" spans="1:13" ht="15">
      <c r="A9" t="s">
        <v>292</v>
      </c>
      <c r="B9" t="str">
        <f>"10536"</f>
        <v>10536</v>
      </c>
      <c r="C9" t="str">
        <f>"1849"</f>
        <v>1849</v>
      </c>
      <c r="D9" t="str">
        <f>"Kalevala"</f>
        <v>Kalevala</v>
      </c>
      <c r="E9" t="str">
        <f t="shared" si="0"/>
        <v>viro</v>
      </c>
      <c r="F9" t="str">
        <f>"luule, rahvaluule"</f>
        <v>luule, rahvaluule</v>
      </c>
      <c r="G9" t="str">
        <f>"  täiskasvanud"</f>
        <v xml:space="preserve">  täiskasvanud</v>
      </c>
      <c r="H9" t="str">
        <f>"1891"</f>
        <v>1891</v>
      </c>
      <c r="I9" t="str">
        <f>"Kalewala. 1. jagu"</f>
        <v>Kalewala. 1. jagu</v>
      </c>
      <c r="J9" t="str">
        <f>"Eisen, Matthias Johann"</f>
        <v>Eisen, Matthias Johann</v>
      </c>
      <c r="K9" t="str">
        <f>"Hermann, Tartu"</f>
        <v>Hermann, Tartu</v>
      </c>
      <c r="L9" t="str">
        <f>""</f>
        <v/>
      </c>
      <c r="M9" t="str">
        <f>""</f>
        <v/>
      </c>
    </row>
    <row r="10" spans="1:13" ht="15">
      <c r="A10" t="s">
        <v>519</v>
      </c>
      <c r="B10" t="str">
        <f>"16850"</f>
        <v>16850</v>
      </c>
      <c r="C10" t="str">
        <f>""</f>
        <v/>
      </c>
      <c r="D10" t="str">
        <f>"Läsning för barn"</f>
        <v>Läsning för barn</v>
      </c>
      <c r="E10" t="str">
        <f>"viro, välikieli"</f>
        <v>viro, välikieli</v>
      </c>
      <c r="F10" t="str">
        <f>"lühiproosa, proosa"</f>
        <v>lühiproosa, proosa</v>
      </c>
      <c r="G10" t="str">
        <f>" lapsed ja noored"</f>
        <v xml:space="preserve"> lapsed ja noored</v>
      </c>
      <c r="H10" t="str">
        <f>"1891"</f>
        <v>1891</v>
      </c>
      <c r="I10" t="str">
        <f>"Refanut ja mõnda muud"</f>
        <v>Refanut ja mõnda muud</v>
      </c>
      <c r="J10" t="str">
        <f>"Lipp, Martin"</f>
        <v>Lipp, Martin</v>
      </c>
      <c r="K10" t="str">
        <f>"K. Busch'i raamatukaupluse kuluga trükitud, Tallinn"</f>
        <v>K. Busch'i raamatukaupluse kuluga trükitud, Tallinn</v>
      </c>
      <c r="L10" t="str">
        <f>""</f>
        <v/>
      </c>
      <c r="M10" t="str">
        <f>""</f>
        <v/>
      </c>
    </row>
    <row r="11" spans="1:13" ht="15">
      <c r="A11" t="s">
        <v>395</v>
      </c>
      <c r="B11" t="str">
        <f>"6722"</f>
        <v>6722</v>
      </c>
      <c r="C11" t="str">
        <f>""</f>
        <v/>
      </c>
      <c r="D11" t="str">
        <f>""</f>
        <v/>
      </c>
      <c r="E11" t="str">
        <f aca="true" t="shared" si="1" ref="E11:E74">"viro"</f>
        <v>viro</v>
      </c>
      <c r="F11" t="str">
        <f>"lühiproosa, proosa"</f>
        <v>lühiproosa, proosa</v>
      </c>
      <c r="G11" t="str">
        <f>"  täiskasvanud"</f>
        <v xml:space="preserve">  täiskasvanud</v>
      </c>
      <c r="H11" t="str">
        <f>"1892"</f>
        <v>1892</v>
      </c>
      <c r="I11" t="str">
        <f>"Soome uudis-jutud"</f>
        <v>Soome uudis-jutud</v>
      </c>
      <c r="J11" t="str">
        <f>"Enne, Theodor"</f>
        <v>Enne, Theodor</v>
      </c>
      <c r="K11" t="str">
        <f>"N. Erna, Rakvere"</f>
        <v>N. Erna, Rakvere</v>
      </c>
      <c r="L11" t="str">
        <f>""</f>
        <v/>
      </c>
      <c r="M11" t="str">
        <f>""</f>
        <v/>
      </c>
    </row>
    <row r="12" spans="1:13" ht="15">
      <c r="A12" t="s">
        <v>52</v>
      </c>
      <c r="B12" t="str">
        <f>"6598"</f>
        <v>6598</v>
      </c>
      <c r="C12" t="str">
        <f>"1870"</f>
        <v>1870</v>
      </c>
      <c r="D12" t="str">
        <f>"Ylhäiset ja alhaiset"</f>
        <v>Ylhäiset ja alhaiset</v>
      </c>
      <c r="E12" t="str">
        <f t="shared" si="1"/>
        <v>viro</v>
      </c>
      <c r="F12" t="str">
        <f>"romaanid; proosa"</f>
        <v>romaanid; proosa</v>
      </c>
      <c r="G12" t="str">
        <f>"  täiskasvanud"</f>
        <v xml:space="preserve">  täiskasvanud</v>
      </c>
      <c r="H12" t="str">
        <f>"1898"</f>
        <v>1898</v>
      </c>
      <c r="I12" t="str">
        <f>"Ülemad ja alamad"</f>
        <v>Ülemad ja alamad</v>
      </c>
      <c r="J12" t="str">
        <f>"Juurik, M."</f>
        <v>Juurik, M.</v>
      </c>
      <c r="K12" t="str">
        <f>"J. Palmgreni rmtkpl, Peterburi"</f>
        <v>J. Palmgreni rmtkpl, Peterburi</v>
      </c>
      <c r="L12" t="str">
        <f>""</f>
        <v/>
      </c>
      <c r="M12" t="str">
        <f>""</f>
        <v/>
      </c>
    </row>
    <row r="13" spans="1:13" ht="15">
      <c r="A13" t="s">
        <v>292</v>
      </c>
      <c r="B13" t="str">
        <f>"10537"</f>
        <v>10537</v>
      </c>
      <c r="C13" t="str">
        <f>"1849"</f>
        <v>1849</v>
      </c>
      <c r="D13" t="str">
        <f>"Kalevala"</f>
        <v>Kalevala</v>
      </c>
      <c r="E13" t="str">
        <f t="shared" si="1"/>
        <v>viro</v>
      </c>
      <c r="F13" t="str">
        <f>"luule, rahvaluule"</f>
        <v>luule, rahvaluule</v>
      </c>
      <c r="G13" t="str">
        <f>"  täiskasvanud"</f>
        <v xml:space="preserve">  täiskasvanud</v>
      </c>
      <c r="H13" t="str">
        <f>"1898"</f>
        <v>1898</v>
      </c>
      <c r="I13" t="str">
        <f>"Kalewala. 2. jagu"</f>
        <v>Kalewala. 2. jagu</v>
      </c>
      <c r="J13" t="str">
        <f>"Eisen, Matthias Johann"</f>
        <v>Eisen, Matthias Johann</v>
      </c>
      <c r="K13" t="str">
        <f>"Hermann, Tartu"</f>
        <v>Hermann, Tartu</v>
      </c>
      <c r="L13" t="str">
        <f>""</f>
        <v/>
      </c>
      <c r="M13" t="str">
        <f>""</f>
        <v/>
      </c>
    </row>
    <row r="14" spans="1:13" ht="15">
      <c r="A14" t="s">
        <v>519</v>
      </c>
      <c r="B14" t="str">
        <f>"16386"</f>
        <v>16386</v>
      </c>
      <c r="C14" t="str">
        <f>""</f>
        <v/>
      </c>
      <c r="D14" t="str">
        <f>""</f>
        <v/>
      </c>
      <c r="E14" t="str">
        <f t="shared" si="1"/>
        <v>viro</v>
      </c>
      <c r="F14" t="str">
        <f>"muinasjutud; proosa"</f>
        <v>muinasjutud; proosa</v>
      </c>
      <c r="G14" t="str">
        <f>" lapsed ja noored"</f>
        <v xml:space="preserve"> lapsed ja noored</v>
      </c>
      <c r="H14" t="str">
        <f>"1898"</f>
        <v>1898</v>
      </c>
      <c r="I14" t="str">
        <f>"Kask ja Täht ja tõised jutud"</f>
        <v>Kask ja Täht ja tõised jutud</v>
      </c>
      <c r="J14" t="str">
        <f>"Lipp, Martin"</f>
        <v>Lipp, Martin</v>
      </c>
      <c r="K14" t="str">
        <f>"[s.n.], Jurjew"</f>
        <v>[s.n.], Jurjew</v>
      </c>
      <c r="L14" t="str">
        <f>""</f>
        <v/>
      </c>
      <c r="M14" t="str">
        <f>""</f>
        <v/>
      </c>
    </row>
    <row r="15" spans="1:13" ht="15">
      <c r="A15" t="s">
        <v>148</v>
      </c>
      <c r="B15" t="str">
        <f>"16573"</f>
        <v>16573</v>
      </c>
      <c r="C15" t="str">
        <f>"1892"</f>
        <v>1892</v>
      </c>
      <c r="D15" t="str">
        <f>"Kuiwalan kestikiewarin ja maisteri Aholinin ensimmäinen ja toinen keskustelu"</f>
        <v>Kuiwalan kestikiewarin ja maisteri Aholinin ensimmäinen ja toinen keskustelu</v>
      </c>
      <c r="E15" t="str">
        <f t="shared" si="1"/>
        <v>viro</v>
      </c>
      <c r="F15" t="str">
        <f>"näidendid; draama"</f>
        <v>näidendid; draama</v>
      </c>
      <c r="G15" t="str">
        <f>"  täiskasvanud"</f>
        <v xml:space="preserve">  täiskasvanud</v>
      </c>
      <c r="H15" t="str">
        <f>"1899"</f>
        <v>1899</v>
      </c>
      <c r="I15" t="str">
        <f>"Kuiwala kõrtsimehe ja magister Aholin'i läbirääkimised"</f>
        <v>Kuiwala kõrtsimehe ja magister Aholin'i läbirääkimised</v>
      </c>
      <c r="J15" t="str">
        <f>"Hünerson, Jaan"</f>
        <v>Hünerson, Jaan</v>
      </c>
      <c r="K15" t="str">
        <f>"J. Hürerson, Jurjev"</f>
        <v>J. Hürerson, Jurjev</v>
      </c>
      <c r="L15" t="str">
        <f>""</f>
        <v/>
      </c>
      <c r="M15" t="str">
        <f>""</f>
        <v/>
      </c>
    </row>
    <row r="16" spans="1:13" ht="15">
      <c r="A16" t="s">
        <v>558</v>
      </c>
      <c r="B16" t="str">
        <f>"15353"</f>
        <v>15353</v>
      </c>
      <c r="C16" t="str">
        <f>"1898"</f>
        <v>1898</v>
      </c>
      <c r="D16" t="str">
        <f>"Savon sydämessä : kansantapojen kuvaus : 3-näytöksinen huvinäytelmä"</f>
        <v>Savon sydämessä : kansantapojen kuvaus : 3-näytöksinen huvinäytelmä</v>
      </c>
      <c r="E16" t="str">
        <f t="shared" si="1"/>
        <v>viro</v>
      </c>
      <c r="F16" t="str">
        <f>"näidendid; draama"</f>
        <v>näidendid; draama</v>
      </c>
      <c r="G16" t="str">
        <f>"  täiskasvanud"</f>
        <v xml:space="preserve">  täiskasvanud</v>
      </c>
      <c r="H16" t="str">
        <f>"1899"</f>
        <v>1899</v>
      </c>
      <c r="I16" t="str">
        <f>"Meie metsanurgas"</f>
        <v>Meie metsanurgas</v>
      </c>
      <c r="J16" t="str">
        <f>"Ploompuu, Jakob"</f>
        <v>Ploompuu, Jakob</v>
      </c>
      <c r="K16" t="str">
        <f>"J. Ploompuu raamatukauplus, Tallinn"</f>
        <v>J. Ploompuu raamatukauplus, Tallinn</v>
      </c>
      <c r="L16" t="str">
        <f>""</f>
        <v/>
      </c>
      <c r="M16" t="str">
        <f>""</f>
        <v/>
      </c>
    </row>
    <row r="17" spans="1:13" ht="15">
      <c r="A17" t="s">
        <v>221</v>
      </c>
      <c r="B17" t="str">
        <f>"6672"</f>
        <v>6672</v>
      </c>
      <c r="C17" t="str">
        <f>"1885"</f>
        <v>1885</v>
      </c>
      <c r="D17" t="str">
        <f>"Ihmekös tuo!"</f>
        <v>Ihmekös tuo!</v>
      </c>
      <c r="E17" t="str">
        <f t="shared" si="1"/>
        <v>viro</v>
      </c>
      <c r="F17" t="str">
        <f>"näidendid; draama"</f>
        <v>näidendid; draama</v>
      </c>
      <c r="G17" t="str">
        <f>"  täiskasvanud"</f>
        <v xml:space="preserve">  täiskasvanud</v>
      </c>
      <c r="H17" t="str">
        <f>"1900"</f>
        <v>1900</v>
      </c>
      <c r="I17" t="str">
        <f>"Mis ime see on!"</f>
        <v>Mis ime see on!</v>
      </c>
      <c r="J17" t="str">
        <f>"Tilk, I."</f>
        <v>Tilk, I.</v>
      </c>
      <c r="K17" t="str">
        <f>"G. Heinrichson, Jurjev"</f>
        <v>G. Heinrichson, Jurjev</v>
      </c>
      <c r="L17" t="str">
        <f>""</f>
        <v/>
      </c>
      <c r="M17" t="str">
        <f>""</f>
        <v/>
      </c>
    </row>
    <row r="18" spans="1:13" ht="15">
      <c r="A18" t="s">
        <v>9</v>
      </c>
      <c r="B18" t="str">
        <f>"6580"</f>
        <v>6580</v>
      </c>
      <c r="C18" t="str">
        <f>"1894"</f>
        <v>1894</v>
      </c>
      <c r="D18" t="str">
        <f>"Maailman murjoma ; Uudisasukas"</f>
        <v>Maailman murjoma ; Uudisasukas</v>
      </c>
      <c r="E18" t="str">
        <f t="shared" si="1"/>
        <v>viro</v>
      </c>
      <c r="F18" t="str">
        <f>"lühiproosa, proosa"</f>
        <v>lühiproosa, proosa</v>
      </c>
      <c r="G18" t="str">
        <f>"  täiskasvanud"</f>
        <v xml:space="preserve">  täiskasvanud</v>
      </c>
      <c r="H18" t="str">
        <f>"1901"</f>
        <v>1901</v>
      </c>
      <c r="I18" t="str">
        <f>"Põlgtuse all"</f>
        <v>Põlgtuse all</v>
      </c>
      <c r="J18" t="str">
        <f>"Grünfeldt, Peeter"</f>
        <v>Grünfeldt, Peeter</v>
      </c>
      <c r="K18" t="str">
        <f>"M. Millistfer, Jurjev"</f>
        <v>M. Millistfer, Jurjev</v>
      </c>
      <c r="L18" t="str">
        <f>""</f>
        <v/>
      </c>
      <c r="M18" t="str">
        <f>""</f>
        <v/>
      </c>
    </row>
    <row r="19" spans="1:13" ht="15">
      <c r="A19" t="s">
        <v>38</v>
      </c>
      <c r="B19" t="str">
        <f>"6592"</f>
        <v>6592</v>
      </c>
      <c r="C19" t="str">
        <f>"1883"</f>
        <v>1883</v>
      </c>
      <c r="D19" t="str">
        <f>"Murtovarkaus"</f>
        <v>Murtovarkaus</v>
      </c>
      <c r="E19" t="str">
        <f t="shared" si="1"/>
        <v>viro</v>
      </c>
      <c r="F19" t="str">
        <f>"näidendid; draama"</f>
        <v>näidendid; draama</v>
      </c>
      <c r="G19" t="str">
        <f>"  täiskasvanud"</f>
        <v xml:space="preserve">  täiskasvanud</v>
      </c>
      <c r="H19" t="str">
        <f>"1901"</f>
        <v>1901</v>
      </c>
      <c r="I19" t="str">
        <f>"Murdwargus"</f>
        <v>Murdwargus</v>
      </c>
      <c r="J19" t="str">
        <f>"Ploompuu, Jakob"</f>
        <v>Ploompuu, Jakob</v>
      </c>
      <c r="K19" t="str">
        <f>"J. Ploompuu raamatukauplus, Tallinn"</f>
        <v>J. Ploompuu raamatukauplus, Tallinn</v>
      </c>
      <c r="L19" t="str">
        <f>""</f>
        <v/>
      </c>
      <c r="M19" t="str">
        <f>""</f>
        <v/>
      </c>
    </row>
    <row r="20" spans="1:13" ht="15">
      <c r="A20" t="s">
        <v>38</v>
      </c>
      <c r="B20" t="str">
        <f>"10163"</f>
        <v>10163</v>
      </c>
      <c r="C20" t="str">
        <f>"1895"</f>
        <v>1895</v>
      </c>
      <c r="D20" t="str">
        <f>"Anna Liisa : näytelmä kolmessa näytöksessä"</f>
        <v>Anna Liisa : näytelmä kolmessa näytöksessä</v>
      </c>
      <c r="E20" t="str">
        <f t="shared" si="1"/>
        <v>viro</v>
      </c>
      <c r="F20" t="str">
        <f>"näidendid; draama"</f>
        <v>näidendid; draama</v>
      </c>
      <c r="G20" t="str">
        <f>"  täiskasvanud"</f>
        <v xml:space="preserve">  täiskasvanud</v>
      </c>
      <c r="H20" t="str">
        <f>"1902"</f>
        <v>1902</v>
      </c>
      <c r="I20" t="str">
        <f>"Anna-Liisa"</f>
        <v>Anna-Liisa</v>
      </c>
      <c r="J20" t="str">
        <f>"Altermann, Theodor"</f>
        <v>Altermann, Theodor</v>
      </c>
      <c r="K20" t="str">
        <f>"Näitelava, Tallinn"</f>
        <v>Näitelava, Tallinn</v>
      </c>
      <c r="L20" t="str">
        <f>""</f>
        <v/>
      </c>
      <c r="M20" t="str">
        <f>""</f>
        <v/>
      </c>
    </row>
    <row r="21" spans="1:13" ht="15">
      <c r="A21" t="s">
        <v>185</v>
      </c>
      <c r="B21" t="str">
        <f>"16703"</f>
        <v>16703</v>
      </c>
      <c r="C21" t="str">
        <f>"1878"</f>
        <v>1878</v>
      </c>
      <c r="D21" t="str">
        <f>"Koto ja kahleet"</f>
        <v>Koto ja kahleet</v>
      </c>
      <c r="E21" t="str">
        <f t="shared" si="1"/>
        <v>viro</v>
      </c>
      <c r="F21" t="str">
        <f>"lühiproosa, proosa"</f>
        <v>lühiproosa, proosa</v>
      </c>
      <c r="G21" t="str">
        <f>"  täiskasvanud"</f>
        <v xml:space="preserve">  täiskasvanud</v>
      </c>
      <c r="H21" t="str">
        <f>"1902"</f>
        <v>1902</v>
      </c>
      <c r="I21" t="str">
        <f>"Kodu ja ahelad"</f>
        <v>Kodu ja ahelad</v>
      </c>
      <c r="J21" t="str">
        <f>"Haho, K."</f>
        <v>Haho, K.</v>
      </c>
      <c r="K21" t="str">
        <f>"Eesti Üliõpilaste Selts, Tartu"</f>
        <v>Eesti Üliõpilaste Selts, Tartu</v>
      </c>
      <c r="L21" t="str">
        <f>""</f>
        <v/>
      </c>
      <c r="M21" t="str">
        <f>""</f>
        <v/>
      </c>
    </row>
    <row r="22" spans="1:13" ht="15">
      <c r="A22" t="s">
        <v>38</v>
      </c>
      <c r="B22" t="str">
        <f>"6593"</f>
        <v>6593</v>
      </c>
      <c r="C22" t="str">
        <f>"1883"</f>
        <v>1883</v>
      </c>
      <c r="D22" t="str">
        <f>"Murtovarkaus"</f>
        <v>Murtovarkaus</v>
      </c>
      <c r="E22" t="str">
        <f t="shared" si="1"/>
        <v>viro</v>
      </c>
      <c r="F22" t="str">
        <f>"näidendid; draama"</f>
        <v>näidendid; draama</v>
      </c>
      <c r="G22" t="str">
        <f>"  täiskasvanud"</f>
        <v xml:space="preserve">  täiskasvanud</v>
      </c>
      <c r="H22" t="str">
        <f>"1903"</f>
        <v>1903</v>
      </c>
      <c r="I22" t="str">
        <f>"Murdwargus"</f>
        <v>Murdwargus</v>
      </c>
      <c r="J22" t="str">
        <f>"Ploompuu, Jakob"</f>
        <v>Ploompuu, Jakob</v>
      </c>
      <c r="K22" t="str">
        <f>"J. Ploompuu raamatukauplus, Tallinn"</f>
        <v>J. Ploompuu raamatukauplus, Tallinn</v>
      </c>
      <c r="L22" t="str">
        <f>"2. p."</f>
        <v>2. p.</v>
      </c>
      <c r="M22" t="str">
        <f>""</f>
        <v/>
      </c>
    </row>
    <row r="23" spans="1:13" ht="15">
      <c r="A23" t="s">
        <v>567</v>
      </c>
      <c r="B23" t="str">
        <f>"6785"</f>
        <v>6785</v>
      </c>
      <c r="C23" t="str">
        <f>"1903"</f>
        <v>1903</v>
      </c>
      <c r="D23" t="str">
        <f>"Lyyli : viisinäytöksinen näytelmä"</f>
        <v>Lyyli : viisinäytöksinen näytelmä</v>
      </c>
      <c r="E23" t="str">
        <f t="shared" si="1"/>
        <v>viro</v>
      </c>
      <c r="F23" t="str">
        <f>"näidendid; draama"</f>
        <v>näidendid; draama</v>
      </c>
      <c r="G23" t="str">
        <f>"  täiskasvanud"</f>
        <v xml:space="preserve">  täiskasvanud</v>
      </c>
      <c r="H23" t="str">
        <f>"1903"</f>
        <v>1903</v>
      </c>
      <c r="I23" t="str">
        <f>"Lyyli"</f>
        <v>Lyyli</v>
      </c>
      <c r="J23" t="str">
        <f>"Johannson, A."</f>
        <v>Johannson, A.</v>
      </c>
      <c r="K23" t="str">
        <f>"Leoke, Viljandi"</f>
        <v>Leoke, Viljandi</v>
      </c>
      <c r="L23" t="str">
        <f>""</f>
        <v/>
      </c>
      <c r="M23" t="str">
        <f>""</f>
        <v/>
      </c>
    </row>
    <row r="24" spans="1:13" ht="15">
      <c r="A24" t="s">
        <v>38</v>
      </c>
      <c r="B24" t="str">
        <f>"6594"</f>
        <v>6594</v>
      </c>
      <c r="C24" t="str">
        <f>"1885"</f>
        <v>1885</v>
      </c>
      <c r="D24" t="str">
        <f>"Roinilan talossa"</f>
        <v>Roinilan talossa</v>
      </c>
      <c r="E24" t="str">
        <f t="shared" si="1"/>
        <v>viro</v>
      </c>
      <c r="F24" t="str">
        <f>"näidendid; draama"</f>
        <v>näidendid; draama</v>
      </c>
      <c r="G24" t="str">
        <f>"  täiskasvanud"</f>
        <v xml:space="preserve">  täiskasvanud</v>
      </c>
      <c r="H24" t="str">
        <f>"1904"</f>
        <v>1904</v>
      </c>
      <c r="I24" t="str">
        <f>"Roinila talus"</f>
        <v>Roinila talus</v>
      </c>
      <c r="J24" t="str">
        <f>"Ploompuu, Leeni"</f>
        <v>Ploompuu, Leeni</v>
      </c>
      <c r="K24" t="str">
        <f>"J. Ploompuu raamatukauplus, Tallinn"</f>
        <v>J. Ploompuu raamatukauplus, Tallinn</v>
      </c>
      <c r="L24" t="str">
        <f>""</f>
        <v/>
      </c>
      <c r="M24" t="str">
        <f>""</f>
        <v/>
      </c>
    </row>
    <row r="25" spans="1:13" ht="15">
      <c r="A25" t="s">
        <v>61</v>
      </c>
      <c r="B25" t="str">
        <f>"6608"</f>
        <v>6608</v>
      </c>
      <c r="C25" t="str">
        <f>"1903"</f>
        <v>1903</v>
      </c>
      <c r="D25" t="str">
        <f>"Murtuneita : nelinäytöksinen näytelmä"</f>
        <v>Murtuneita : nelinäytöksinen näytelmä</v>
      </c>
      <c r="E25" t="str">
        <f t="shared" si="1"/>
        <v>viro</v>
      </c>
      <c r="F25" t="str">
        <f>"näidendid; draama"</f>
        <v>näidendid; draama</v>
      </c>
      <c r="G25" t="str">
        <f>"  täiskasvanud"</f>
        <v xml:space="preserve">  täiskasvanud</v>
      </c>
      <c r="H25" t="str">
        <f>"1904"</f>
        <v>1904</v>
      </c>
      <c r="I25" t="str">
        <f>"Murdunud"</f>
        <v>Murdunud</v>
      </c>
      <c r="J25" t="str">
        <f>""</f>
        <v/>
      </c>
      <c r="K25" t="str">
        <f>"Leoke, Viljandi"</f>
        <v>Leoke, Viljandi</v>
      </c>
      <c r="L25" t="str">
        <f>""</f>
        <v/>
      </c>
      <c r="M25" t="str">
        <f>""</f>
        <v/>
      </c>
    </row>
    <row r="26" spans="1:13" ht="15">
      <c r="A26" t="s">
        <v>273</v>
      </c>
      <c r="B26" t="str">
        <f>"6693"</f>
        <v>6693</v>
      </c>
      <c r="C26" t="str">
        <f>"1903"</f>
        <v>1903</v>
      </c>
      <c r="D26" t="str">
        <f>"Ikuinen taistelu : näytelmä"</f>
        <v>Ikuinen taistelu : näytelmä</v>
      </c>
      <c r="E26" t="str">
        <f t="shared" si="1"/>
        <v>viro</v>
      </c>
      <c r="F26" t="str">
        <f>"näidendid; draama"</f>
        <v>näidendid; draama</v>
      </c>
      <c r="G26" t="str">
        <f>"  täiskasvanud"</f>
        <v xml:space="preserve">  täiskasvanud</v>
      </c>
      <c r="H26" t="str">
        <f>"1905"</f>
        <v>1905</v>
      </c>
      <c r="I26" t="str">
        <f>"Igawene wõitlus"</f>
        <v>Igawene wõitlus</v>
      </c>
      <c r="J26" t="str">
        <f>"Johannson, A."</f>
        <v>Johannson, A.</v>
      </c>
      <c r="K26" t="str">
        <f>"Leoke, Viljandi"</f>
        <v>Leoke, Viljandi</v>
      </c>
      <c r="L26" t="str">
        <f>""</f>
        <v/>
      </c>
      <c r="M26" t="str">
        <f>""</f>
        <v/>
      </c>
    </row>
    <row r="27" spans="1:13" ht="15">
      <c r="A27" t="s">
        <v>147</v>
      </c>
      <c r="B27" t="str">
        <f>"14980"</f>
        <v>14980</v>
      </c>
      <c r="C27" t="str">
        <f>"1905"</f>
        <v>1905</v>
      </c>
      <c r="D27" t="str">
        <f>"Meren takaa. 1-2"</f>
        <v>Meren takaa. 1-2</v>
      </c>
      <c r="E27" t="str">
        <f t="shared" si="1"/>
        <v>viro</v>
      </c>
      <c r="F27" t="str">
        <f>"lühiproosa, proosa"</f>
        <v>lühiproosa, proosa</v>
      </c>
      <c r="G27" t="str">
        <f>"  täiskasvanud"</f>
        <v xml:space="preserve">  täiskasvanud</v>
      </c>
      <c r="H27" t="str">
        <f>"1905, 1908"</f>
        <v>1905, 1908</v>
      </c>
      <c r="I27" t="str">
        <f>"Mere tagant. 1-2"</f>
        <v>Mere tagant. 1-2</v>
      </c>
      <c r="J27" t="str">
        <f>"Suits, Gustav"</f>
        <v>Suits, Gustav</v>
      </c>
      <c r="K27" t="str">
        <f>"Postimees, Tartu"</f>
        <v>Postimees, Tartu</v>
      </c>
      <c r="L27" t="str">
        <f>""</f>
        <v/>
      </c>
      <c r="M27" t="str">
        <f>""</f>
        <v/>
      </c>
    </row>
    <row r="28" spans="1:13" ht="15">
      <c r="A28" t="s">
        <v>9</v>
      </c>
      <c r="B28" t="str">
        <f>"10757"</f>
        <v>10757</v>
      </c>
      <c r="C28" t="str">
        <f>"1884"</f>
        <v>1884</v>
      </c>
      <c r="D28" t="str">
        <f>"Rautatie"</f>
        <v>Rautatie</v>
      </c>
      <c r="E28" t="str">
        <f t="shared" si="1"/>
        <v>viro</v>
      </c>
      <c r="F28" t="str">
        <f>"romaanid; proosa"</f>
        <v>romaanid; proosa</v>
      </c>
      <c r="G28" t="str">
        <f>"  täiskasvanud"</f>
        <v xml:space="preserve">  täiskasvanud</v>
      </c>
      <c r="H28" t="str">
        <f>"1906"</f>
        <v>1906</v>
      </c>
      <c r="I28" t="str">
        <f>"Raudtee"</f>
        <v>Raudtee</v>
      </c>
      <c r="J28" t="str">
        <f>"Suits, Gustav"</f>
        <v>Suits, Gustav</v>
      </c>
      <c r="K28" t="str">
        <f>"K. Sööt, Tartu"</f>
        <v>K. Sööt, Tartu</v>
      </c>
      <c r="L28" t="str">
        <f>""</f>
        <v/>
      </c>
      <c r="M28" t="str">
        <f>""</f>
        <v/>
      </c>
    </row>
    <row r="29" spans="1:13" ht="15">
      <c r="A29" t="s">
        <v>185</v>
      </c>
      <c r="B29" t="str">
        <f>"6658"</f>
        <v>6658</v>
      </c>
      <c r="C29" t="str">
        <f>"1866"</f>
        <v>1866</v>
      </c>
      <c r="D29" t="str">
        <f>"Kihlaus : komedia yhdessä näytöksessä"</f>
        <v>Kihlaus : komedia yhdessä näytöksessä</v>
      </c>
      <c r="E29" t="str">
        <f t="shared" si="1"/>
        <v>viro</v>
      </c>
      <c r="F29" t="str">
        <f>"näidendid; draama"</f>
        <v>näidendid; draama</v>
      </c>
      <c r="G29" t="str">
        <f>"  täiskasvanud"</f>
        <v xml:space="preserve">  täiskasvanud</v>
      </c>
      <c r="H29" t="str">
        <f>"1906"</f>
        <v>1906</v>
      </c>
      <c r="I29" t="str">
        <f>"Kihlus"</f>
        <v>Kihlus</v>
      </c>
      <c r="J29" t="str">
        <f>"Prants, Anna Mathilde"</f>
        <v>Prants, Anna Mathilde</v>
      </c>
      <c r="K29" t="str">
        <f>"K. Sööt, Tartu"</f>
        <v>K. Sööt, Tartu</v>
      </c>
      <c r="L29" t="str">
        <f>""</f>
        <v/>
      </c>
      <c r="M29" t="str">
        <f>""</f>
        <v/>
      </c>
    </row>
    <row r="30" spans="1:13" ht="15">
      <c r="A30" t="s">
        <v>273</v>
      </c>
      <c r="B30" t="str">
        <f>"14988"</f>
        <v>14988</v>
      </c>
      <c r="C30" t="str">
        <f>"1905"</f>
        <v>1905</v>
      </c>
      <c r="D30" t="str">
        <f>"Laulu tulipunaisesta kukasta"</f>
        <v>Laulu tulipunaisesta kukasta</v>
      </c>
      <c r="E30" t="str">
        <f t="shared" si="1"/>
        <v>viro</v>
      </c>
      <c r="F30" t="str">
        <f>"romaanid; proosa"</f>
        <v>romaanid; proosa</v>
      </c>
      <c r="G30" t="str">
        <f>"  täiskasvanud"</f>
        <v xml:space="preserve">  täiskasvanud</v>
      </c>
      <c r="H30" t="str">
        <f>"1906"</f>
        <v>1906</v>
      </c>
      <c r="I30" t="str">
        <f>"Laul tulipunasest lillest"</f>
        <v>Laul tulipunasest lillest</v>
      </c>
      <c r="J30" t="str">
        <f>"Johannson, Ado, Prants, Anna Mathilde"</f>
        <v>Johannson, Ado, Prants, Anna Mathilde</v>
      </c>
      <c r="K30" t="str">
        <f>"[s.n.], Viljandi"</f>
        <v>[s.n.], Viljandi</v>
      </c>
      <c r="L30" t="str">
        <f>""</f>
        <v/>
      </c>
      <c r="M30" t="str">
        <f>""</f>
        <v/>
      </c>
    </row>
    <row r="31" spans="1:13" ht="15">
      <c r="A31" t="s">
        <v>9</v>
      </c>
      <c r="B31" t="str">
        <f>"10304"</f>
        <v>10304</v>
      </c>
      <c r="C31" t="str">
        <f>""</f>
        <v/>
      </c>
      <c r="D31" t="str">
        <f>"Lastuja"</f>
        <v>Lastuja</v>
      </c>
      <c r="E31" t="str">
        <f t="shared" si="1"/>
        <v>viro</v>
      </c>
      <c r="F31" t="str">
        <f>"lühiproosa, proosa"</f>
        <v>lühiproosa, proosa</v>
      </c>
      <c r="G31" t="str">
        <f>"  täiskasvanud"</f>
        <v xml:space="preserve">  täiskasvanud</v>
      </c>
      <c r="H31" t="str">
        <f>"1907"</f>
        <v>1907</v>
      </c>
      <c r="I31" t="str">
        <f>"Laastud"</f>
        <v>Laastud</v>
      </c>
      <c r="J31" t="str">
        <f>"Aavik, Johannes"</f>
        <v>Aavik, Johannes</v>
      </c>
      <c r="K31" t="str">
        <f>"A. Busch, Tallinn"</f>
        <v>A. Busch, Tallinn</v>
      </c>
      <c r="L31" t="str">
        <f>""</f>
        <v/>
      </c>
      <c r="M31" t="str">
        <f>""</f>
        <v/>
      </c>
    </row>
    <row r="32" spans="1:13" ht="15">
      <c r="A32" t="s">
        <v>147</v>
      </c>
      <c r="B32" t="str">
        <f>"6884"</f>
        <v>6884</v>
      </c>
      <c r="C32" t="str">
        <f>"1907"</f>
        <v>1907</v>
      </c>
      <c r="D32" t="str">
        <f>"Ants Raudjalg : virolainen kertomus"</f>
        <v>Ants Raudjalg : virolainen kertomus</v>
      </c>
      <c r="E32" t="str">
        <f t="shared" si="1"/>
        <v>viro</v>
      </c>
      <c r="F32" t="str">
        <f>"romaanid; proosa"</f>
        <v>romaanid; proosa</v>
      </c>
      <c r="G32" t="str">
        <f>"  täiskasvanud"</f>
        <v xml:space="preserve">  täiskasvanud</v>
      </c>
      <c r="H32" t="str">
        <f>"1907"</f>
        <v>1907</v>
      </c>
      <c r="I32" t="str">
        <f>"Ants Raudjalg"</f>
        <v>Ants Raudjalg</v>
      </c>
      <c r="J32" t="str">
        <f>"Aavik, Johannes"</f>
        <v>Aavik, Johannes</v>
      </c>
      <c r="K32" t="str">
        <f>"Postimees, Tartu"</f>
        <v>Postimees, Tartu</v>
      </c>
      <c r="L32" t="str">
        <f>""</f>
        <v/>
      </c>
      <c r="M32" t="str">
        <f>""</f>
        <v/>
      </c>
    </row>
    <row r="33" spans="1:13" ht="15">
      <c r="A33" t="s">
        <v>165</v>
      </c>
      <c r="B33" t="str">
        <f>"6650"</f>
        <v>6650</v>
      </c>
      <c r="C33" t="str">
        <f>"1904"</f>
        <v>1904</v>
      </c>
      <c r="D33" t="str">
        <f>"Uran aukasijat"</f>
        <v>Uran aukasijat</v>
      </c>
      <c r="E33" t="str">
        <f t="shared" si="1"/>
        <v>viro</v>
      </c>
      <c r="F33" t="str">
        <f>"romaanid; proosa"</f>
        <v>romaanid; proosa</v>
      </c>
      <c r="G33" t="str">
        <f>"  täiskasvanud"</f>
        <v xml:space="preserve">  täiskasvanud</v>
      </c>
      <c r="H33" t="str">
        <f>"1907"</f>
        <v>1907</v>
      </c>
      <c r="I33" t="str">
        <f>"Tee awajad"</f>
        <v>Tee awajad</v>
      </c>
      <c r="J33" t="str">
        <f>"Pärnaoit, A."</f>
        <v>Pärnaoit, A.</v>
      </c>
      <c r="K33" t="str">
        <f>"A. Tõllasepp, Viljandi"</f>
        <v>A. Tõllasepp, Viljandi</v>
      </c>
      <c r="L33" t="str">
        <f>""</f>
        <v/>
      </c>
      <c r="M33" t="str">
        <f>""</f>
        <v/>
      </c>
    </row>
    <row r="34" spans="1:13" ht="15">
      <c r="A34" t="s">
        <v>255</v>
      </c>
      <c r="B34" t="str">
        <f>"6690"</f>
        <v>6690</v>
      </c>
      <c r="C34" t="str">
        <f>"1903"</f>
        <v>1903</v>
      </c>
      <c r="D34" t="str">
        <f>"Päiväperhoja : pieniä tarinoita"</f>
        <v>Päiväperhoja : pieniä tarinoita</v>
      </c>
      <c r="E34" t="str">
        <f t="shared" si="1"/>
        <v>viro</v>
      </c>
      <c r="F34" t="str">
        <f>"lühiproosa, proosa"</f>
        <v>lühiproosa, proosa</v>
      </c>
      <c r="G34" t="str">
        <f>"  täiskasvanud"</f>
        <v xml:space="preserve">  täiskasvanud</v>
      </c>
      <c r="H34" t="str">
        <f>"1908"</f>
        <v>1908</v>
      </c>
      <c r="I34" t="str">
        <f>"Ühepäeva-liblikad"</f>
        <v>Ühepäeva-liblikad</v>
      </c>
      <c r="J34" t="str">
        <f>"Linde, Bernhard"</f>
        <v>Linde, Bernhard</v>
      </c>
      <c r="K34" t="str">
        <f>"Noor-Eesti Kirjastus, Tartu"</f>
        <v>Noor-Eesti Kirjastus, Tartu</v>
      </c>
      <c r="L34" t="str">
        <f>""</f>
        <v/>
      </c>
      <c r="M34" t="str">
        <f>""</f>
        <v/>
      </c>
    </row>
    <row r="35" spans="1:13" ht="15">
      <c r="A35" t="s">
        <v>134</v>
      </c>
      <c r="B35" t="str">
        <f>"6630"</f>
        <v>6630</v>
      </c>
      <c r="C35" t="str">
        <f>"1905"</f>
        <v>1905</v>
      </c>
      <c r="D35" t="str">
        <f>"Maaemon lapsia"</f>
        <v>Maaemon lapsia</v>
      </c>
      <c r="E35" t="str">
        <f t="shared" si="1"/>
        <v>viro</v>
      </c>
      <c r="F35" t="str">
        <f>"romaanid; proosa"</f>
        <v>romaanid; proosa</v>
      </c>
      <c r="G35" t="str">
        <f>"  täiskasvanud"</f>
        <v xml:space="preserve">  täiskasvanud</v>
      </c>
      <c r="H35" t="str">
        <f>"1909"</f>
        <v>1909</v>
      </c>
      <c r="I35" t="str">
        <f>"Maa-ema lapsed"</f>
        <v>Maa-ema lapsed</v>
      </c>
      <c r="J35" t="str">
        <f>""</f>
        <v/>
      </c>
      <c r="K35" t="str">
        <f>"Mõte, Tallinn"</f>
        <v>Mõte, Tallinn</v>
      </c>
      <c r="L35" t="str">
        <f>""</f>
        <v/>
      </c>
      <c r="M35" t="str">
        <f>""</f>
        <v/>
      </c>
    </row>
    <row r="36" spans="1:13" ht="15">
      <c r="A36" t="s">
        <v>161</v>
      </c>
      <c r="B36" t="str">
        <f>"6649"</f>
        <v>6649</v>
      </c>
      <c r="C36" t="str">
        <f>"1902"</f>
        <v>1902</v>
      </c>
      <c r="D36" t="str">
        <f>"Poutaa odottaessa : ilveily 2:ssa näytöksessä"</f>
        <v>Poutaa odottaessa : ilveily 2:ssa näytöksessä</v>
      </c>
      <c r="E36" t="str">
        <f t="shared" si="1"/>
        <v>viro</v>
      </c>
      <c r="F36" t="str">
        <f>"näidendid; draama"</f>
        <v>näidendid; draama</v>
      </c>
      <c r="G36" t="str">
        <f>"  täiskasvanud"</f>
        <v xml:space="preserve">  täiskasvanud</v>
      </c>
      <c r="H36" t="str">
        <f>"1909"</f>
        <v>1909</v>
      </c>
      <c r="I36" t="str">
        <f>"Ühistegewus"</f>
        <v>Ühistegewus</v>
      </c>
      <c r="J36" t="str">
        <f>"Ploompuu, Jakob"</f>
        <v>Ploompuu, Jakob</v>
      </c>
      <c r="K36" t="str">
        <f>"J. Ploompuu raamatukauplus, Tallinn"</f>
        <v>J. Ploompuu raamatukauplus, Tallinn</v>
      </c>
      <c r="L36" t="str">
        <f>""</f>
        <v/>
      </c>
      <c r="M36" t="str">
        <f>""</f>
        <v/>
      </c>
    </row>
    <row r="37" spans="1:13" ht="15">
      <c r="A37" t="s">
        <v>273</v>
      </c>
      <c r="B37" t="str">
        <f>"10288"</f>
        <v>10288</v>
      </c>
      <c r="C37" t="str">
        <f>"1908"</f>
        <v>1908</v>
      </c>
      <c r="D37" t="str">
        <f>"Pakolaiset : talonpoikaistarina"</f>
        <v>Pakolaiset : talonpoikaistarina</v>
      </c>
      <c r="E37" t="str">
        <f t="shared" si="1"/>
        <v>viro</v>
      </c>
      <c r="F37" t="str">
        <f>"romaanid; proosa"</f>
        <v>romaanid; proosa</v>
      </c>
      <c r="G37" t="str">
        <f>"  täiskasvanud"</f>
        <v xml:space="preserve">  täiskasvanud</v>
      </c>
      <c r="H37" t="str">
        <f>"1909"</f>
        <v>1909</v>
      </c>
      <c r="I37" t="str">
        <f>"Põgenejad"</f>
        <v>Põgenejad</v>
      </c>
      <c r="J37" t="str">
        <f>"Ploompuu, Jakob"</f>
        <v>Ploompuu, Jakob</v>
      </c>
      <c r="K37" t="str">
        <f>"J. Ploompuu raamatukauplus, Tallinn"</f>
        <v>J. Ploompuu raamatukauplus, Tallinn</v>
      </c>
      <c r="L37" t="str">
        <f>""</f>
        <v/>
      </c>
      <c r="M37" t="str">
        <f>""</f>
        <v/>
      </c>
    </row>
    <row r="38" spans="1:13" ht="15">
      <c r="A38" t="s">
        <v>38</v>
      </c>
      <c r="B38" t="str">
        <f>"6591"</f>
        <v>6591</v>
      </c>
      <c r="C38" t="str">
        <f>"1895"</f>
        <v>1895</v>
      </c>
      <c r="D38" t="str">
        <f>"Anna Liisa : näytelmä kolmessa näytöksessä"</f>
        <v>Anna Liisa : näytelmä kolmessa näytöksessä</v>
      </c>
      <c r="E38" t="str">
        <f t="shared" si="1"/>
        <v>viro</v>
      </c>
      <c r="F38" t="str">
        <f>"näidendid; draama"</f>
        <v>näidendid; draama</v>
      </c>
      <c r="G38" t="str">
        <f>"  täiskasvanud"</f>
        <v xml:space="preserve">  täiskasvanud</v>
      </c>
      <c r="H38" t="str">
        <f>"1910"</f>
        <v>1910</v>
      </c>
      <c r="I38" t="str">
        <f>"Anna-Liisa"</f>
        <v>Anna-Liisa</v>
      </c>
      <c r="J38" t="str">
        <f>""</f>
        <v/>
      </c>
      <c r="K38" t="str">
        <f>"Näitelava, Tallinn"</f>
        <v>Näitelava, Tallinn</v>
      </c>
      <c r="L38" t="str">
        <f>"2. p."</f>
        <v>2. p.</v>
      </c>
      <c r="M38" t="str">
        <f>""</f>
        <v/>
      </c>
    </row>
    <row r="39" spans="1:13" ht="15">
      <c r="A39" t="s">
        <v>38</v>
      </c>
      <c r="B39" t="str">
        <f>"6595"</f>
        <v>6595</v>
      </c>
      <c r="C39" t="str">
        <f>"1885"</f>
        <v>1885</v>
      </c>
      <c r="D39" t="str">
        <f>"Roinilan talossa"</f>
        <v>Roinilan talossa</v>
      </c>
      <c r="E39" t="str">
        <f t="shared" si="1"/>
        <v>viro</v>
      </c>
      <c r="F39" t="str">
        <f>"näidendid; draama"</f>
        <v>näidendid; draama</v>
      </c>
      <c r="G39" t="str">
        <f>"  täiskasvanud"</f>
        <v xml:space="preserve">  täiskasvanud</v>
      </c>
      <c r="H39" t="str">
        <f>"1910"</f>
        <v>1910</v>
      </c>
      <c r="I39" t="str">
        <f>"Roinila talus"</f>
        <v>Roinila talus</v>
      </c>
      <c r="J39" t="str">
        <f>"Ploompuu, Jakob"</f>
        <v>Ploompuu, Jakob</v>
      </c>
      <c r="K39" t="str">
        <f>"J. Ploompuu raamatukauplus, Tallinn"</f>
        <v>J. Ploompuu raamatukauplus, Tallinn</v>
      </c>
      <c r="L39" t="str">
        <f>"2. p."</f>
        <v>2. p.</v>
      </c>
      <c r="M39" t="str">
        <f>""</f>
        <v/>
      </c>
    </row>
    <row r="40" spans="1:13" ht="15">
      <c r="A40" t="s">
        <v>174</v>
      </c>
      <c r="B40" t="str">
        <f>"6653"</f>
        <v>6653</v>
      </c>
      <c r="C40" t="str">
        <f>"1909"</f>
        <v>1909</v>
      </c>
      <c r="D40" t="str">
        <f>"Punainen viiva"</f>
        <v>Punainen viiva</v>
      </c>
      <c r="E40" t="str">
        <f t="shared" si="1"/>
        <v>viro</v>
      </c>
      <c r="F40" t="str">
        <f>"romaanid; proosa"</f>
        <v>romaanid; proosa</v>
      </c>
      <c r="G40" t="str">
        <f>"  täiskasvanud"</f>
        <v xml:space="preserve">  täiskasvanud</v>
      </c>
      <c r="H40" t="str">
        <f>"1910"</f>
        <v>1910</v>
      </c>
      <c r="I40" t="str">
        <f>"Punane joon"</f>
        <v>Punane joon</v>
      </c>
      <c r="J40" t="str">
        <f>"Virgo, Eduard"</f>
        <v>Virgo, Eduard</v>
      </c>
      <c r="K40" t="str">
        <f>"Postimees, Tartu"</f>
        <v>Postimees, Tartu</v>
      </c>
      <c r="L40" t="str">
        <f>""</f>
        <v/>
      </c>
      <c r="M40" t="str">
        <f>""</f>
        <v/>
      </c>
    </row>
    <row r="41" spans="1:13" ht="15">
      <c r="A41" t="s">
        <v>255</v>
      </c>
      <c r="B41" t="str">
        <f>"6684"</f>
        <v>6684</v>
      </c>
      <c r="C41" t="str">
        <f>"1910"</f>
        <v>1910</v>
      </c>
      <c r="D41" t="str">
        <f>"Nuori nainen"</f>
        <v>Nuori nainen</v>
      </c>
      <c r="E41" t="str">
        <f t="shared" si="1"/>
        <v>viro</v>
      </c>
      <c r="F41" t="str">
        <f>"lühiproosa, proosa"</f>
        <v>lühiproosa, proosa</v>
      </c>
      <c r="G41" t="str">
        <f>"  täiskasvanud"</f>
        <v xml:space="preserve">  täiskasvanud</v>
      </c>
      <c r="H41" t="str">
        <f>"1911"</f>
        <v>1911</v>
      </c>
      <c r="I41" t="str">
        <f>"Noor naine"</f>
        <v>Noor naine</v>
      </c>
      <c r="J41" t="str">
        <f>"Virgo, Eduard"</f>
        <v>Virgo, Eduard</v>
      </c>
      <c r="K41" t="str">
        <f>"Maa, Tallinn"</f>
        <v>Maa, Tallinn</v>
      </c>
      <c r="L41" t="str">
        <f>""</f>
        <v/>
      </c>
      <c r="M41" t="str">
        <f>""</f>
        <v/>
      </c>
    </row>
    <row r="42" spans="1:13" ht="15">
      <c r="A42" t="s">
        <v>352</v>
      </c>
      <c r="B42" t="str">
        <f>"6711"</f>
        <v>6711</v>
      </c>
      <c r="C42" t="str">
        <f>"1909"</f>
        <v>1909</v>
      </c>
      <c r="D42" t="str">
        <f>"Murtoviivoja : novelleja"</f>
        <v>Murtoviivoja : novelleja</v>
      </c>
      <c r="E42" t="str">
        <f t="shared" si="1"/>
        <v>viro</v>
      </c>
      <c r="F42" t="str">
        <f>"lühiproosa, proosa"</f>
        <v>lühiproosa, proosa</v>
      </c>
      <c r="G42" t="str">
        <f>"  täiskasvanud"</f>
        <v xml:space="preserve">  täiskasvanud</v>
      </c>
      <c r="H42" t="str">
        <f>"1911"</f>
        <v>1911</v>
      </c>
      <c r="I42" t="str">
        <f>"Murdjooned"</f>
        <v>Murdjooned</v>
      </c>
      <c r="J42" t="str">
        <f>"Wirgo, Eduard"</f>
        <v>Wirgo, Eduard</v>
      </c>
      <c r="K42" t="str">
        <f>"Maa, Tallinn"</f>
        <v>Maa, Tallinn</v>
      </c>
      <c r="L42" t="str">
        <f>""</f>
        <v/>
      </c>
      <c r="M42" t="str">
        <f>""</f>
        <v/>
      </c>
    </row>
    <row r="43" spans="1:13" ht="15">
      <c r="A43" t="s">
        <v>558</v>
      </c>
      <c r="B43" t="str">
        <f>"6791"</f>
        <v>6791</v>
      </c>
      <c r="C43" t="str">
        <f>"1898"</f>
        <v>1898</v>
      </c>
      <c r="D43" t="str">
        <f>"Savon sydämessä : kansantapojen kuvaus : 3-näytöksinen huvinäytelmä"</f>
        <v>Savon sydämessä : kansantapojen kuvaus : 3-näytöksinen huvinäytelmä</v>
      </c>
      <c r="E43" t="str">
        <f t="shared" si="1"/>
        <v>viro</v>
      </c>
      <c r="F43" t="str">
        <f>"näidendid; draama"</f>
        <v>näidendid; draama</v>
      </c>
      <c r="G43" t="str">
        <f>"  täiskasvanud"</f>
        <v xml:space="preserve">  täiskasvanud</v>
      </c>
      <c r="H43" t="str">
        <f>"1911"</f>
        <v>1911</v>
      </c>
      <c r="I43" t="str">
        <f>"Meie metsanurgas"</f>
        <v>Meie metsanurgas</v>
      </c>
      <c r="J43" t="str">
        <f>"Ploompuu, Jakob"</f>
        <v>Ploompuu, Jakob</v>
      </c>
      <c r="K43" t="str">
        <f>"J. Ploompuu raamatukauplus, Tallinn"</f>
        <v>J. Ploompuu raamatukauplus, Tallinn</v>
      </c>
      <c r="L43" t="str">
        <f>""</f>
        <v/>
      </c>
      <c r="M43" t="str">
        <f>""</f>
        <v/>
      </c>
    </row>
    <row r="44" spans="1:13" ht="15">
      <c r="A44" t="s">
        <v>9</v>
      </c>
      <c r="B44" t="str">
        <f>"6585"</f>
        <v>6585</v>
      </c>
      <c r="C44" t="str">
        <f>"1890"</f>
        <v>1890</v>
      </c>
      <c r="D44" t="str">
        <f>"Yksin"</f>
        <v>Yksin</v>
      </c>
      <c r="E44" t="str">
        <f t="shared" si="1"/>
        <v>viro</v>
      </c>
      <c r="F44" t="str">
        <f>"romaanid; proosa"</f>
        <v>romaanid; proosa</v>
      </c>
      <c r="G44" t="str">
        <f>"  täiskasvanud"</f>
        <v xml:space="preserve">  täiskasvanud</v>
      </c>
      <c r="H44" t="str">
        <f aca="true" t="shared" si="2" ref="H44:H50">"1912"</f>
        <v>1912</v>
      </c>
      <c r="I44" t="str">
        <f>"Üksi"</f>
        <v>Üksi</v>
      </c>
      <c r="J44" t="str">
        <f>"Aavik, Johannes"</f>
        <v>Aavik, Johannes</v>
      </c>
      <c r="K44" t="str">
        <f>"Maa, Tallinn"</f>
        <v>Maa, Tallinn</v>
      </c>
      <c r="L44" t="str">
        <f>""</f>
        <v/>
      </c>
      <c r="M44" t="str">
        <f>""</f>
        <v/>
      </c>
    </row>
    <row r="45" spans="1:13" ht="15">
      <c r="A45" t="s">
        <v>38</v>
      </c>
      <c r="B45" t="str">
        <f>"10164"</f>
        <v>10164</v>
      </c>
      <c r="C45" t="str">
        <f>"1883"</f>
        <v>1883</v>
      </c>
      <c r="D45" t="str">
        <f>"Murtovarkaus"</f>
        <v>Murtovarkaus</v>
      </c>
      <c r="E45" t="str">
        <f t="shared" si="1"/>
        <v>viro</v>
      </c>
      <c r="F45" t="str">
        <f>"näidendid; draama"</f>
        <v>näidendid; draama</v>
      </c>
      <c r="G45" t="str">
        <f>"  täiskasvanud"</f>
        <v xml:space="preserve">  täiskasvanud</v>
      </c>
      <c r="H45" t="str">
        <f t="shared" si="2"/>
        <v>1912</v>
      </c>
      <c r="I45" t="str">
        <f>"Murdwargus"</f>
        <v>Murdwargus</v>
      </c>
      <c r="J45" t="str">
        <f>"Ploompuu, Jakob"</f>
        <v>Ploompuu, Jakob</v>
      </c>
      <c r="K45" t="str">
        <f>"J. Ploompuu raamatukauplus, Tallinn"</f>
        <v>J. Ploompuu raamatukauplus, Tallinn</v>
      </c>
      <c r="L45" t="str">
        <f>"3. p."</f>
        <v>3. p.</v>
      </c>
      <c r="M45" t="str">
        <f>""</f>
        <v/>
      </c>
    </row>
    <row r="46" spans="1:13" ht="15">
      <c r="A46" t="s">
        <v>147</v>
      </c>
      <c r="B46" t="str">
        <f>"14981"</f>
        <v>14981</v>
      </c>
      <c r="C46" t="str">
        <f>""</f>
        <v/>
      </c>
      <c r="D46" t="str">
        <f>""</f>
        <v/>
      </c>
      <c r="E46" t="str">
        <f t="shared" si="1"/>
        <v>viro</v>
      </c>
      <c r="F46" t="str">
        <f>"lühiproosa, proosa"</f>
        <v>lühiproosa, proosa</v>
      </c>
      <c r="G46" t="str">
        <f>"  täiskasvanud"</f>
        <v xml:space="preserve">  täiskasvanud</v>
      </c>
      <c r="H46" t="str">
        <f t="shared" si="2"/>
        <v>1912</v>
      </c>
      <c r="I46" t="str">
        <f>"Valitud leheküljed. 1"</f>
        <v>Valitud leheküljed. 1</v>
      </c>
      <c r="J46" t="str">
        <f>"Tuglas, Friedebert"</f>
        <v>Tuglas, Friedebert</v>
      </c>
      <c r="K46" t="str">
        <f>"Noor-Eesti Kirjastus, Tartu"</f>
        <v>Noor-Eesti Kirjastus, Tartu</v>
      </c>
      <c r="L46" t="str">
        <f>""</f>
        <v/>
      </c>
      <c r="M46" t="str">
        <f>""</f>
        <v/>
      </c>
    </row>
    <row r="47" spans="1:13" ht="15">
      <c r="A47" t="s">
        <v>161</v>
      </c>
      <c r="B47" t="str">
        <f>"6648"</f>
        <v>6648</v>
      </c>
      <c r="C47" t="str">
        <f>"1910"</f>
        <v>1910</v>
      </c>
      <c r="D47" t="str">
        <f>"Kruununtorppari : kuvaus Kiveliöstä"</f>
        <v>Kruununtorppari : kuvaus Kiveliöstä</v>
      </c>
      <c r="E47" t="str">
        <f t="shared" si="1"/>
        <v>viro</v>
      </c>
      <c r="F47" t="str">
        <f>"romaanid; proosa"</f>
        <v>romaanid; proosa</v>
      </c>
      <c r="G47" t="str">
        <f>"  täiskasvanud"</f>
        <v xml:space="preserve">  täiskasvanud</v>
      </c>
      <c r="H47" t="str">
        <f t="shared" si="2"/>
        <v>1912</v>
      </c>
      <c r="I47" t="str">
        <f>"Kroonutorpar"</f>
        <v>Kroonutorpar</v>
      </c>
      <c r="J47" t="str">
        <f>"Ploompuu, Leeni, Wirgo, Eduard"</f>
        <v>Ploompuu, Leeni, Wirgo, Eduard</v>
      </c>
      <c r="K47" t="str">
        <f>"Maa, Tallinn"</f>
        <v>Maa, Tallinn</v>
      </c>
      <c r="L47" t="str">
        <f>""</f>
        <v/>
      </c>
      <c r="M47" t="str">
        <f>""</f>
        <v/>
      </c>
    </row>
    <row r="48" spans="1:13" ht="15">
      <c r="A48" t="s">
        <v>181</v>
      </c>
      <c r="B48" t="str">
        <f>"14981"</f>
        <v>14981</v>
      </c>
      <c r="C48" t="str">
        <f>""</f>
        <v/>
      </c>
      <c r="D48" t="str">
        <f>""</f>
        <v/>
      </c>
      <c r="E48" t="str">
        <f t="shared" si="1"/>
        <v>viro</v>
      </c>
      <c r="F48" t="str">
        <f>"lühiproosa, proosa"</f>
        <v>lühiproosa, proosa</v>
      </c>
      <c r="G48" t="str">
        <f>"  täiskasvanud"</f>
        <v xml:space="preserve">  täiskasvanud</v>
      </c>
      <c r="H48" t="str">
        <f t="shared" si="2"/>
        <v>1912</v>
      </c>
      <c r="I48" t="str">
        <f>"Valitud leheküljed. 1"</f>
        <v>Valitud leheküljed. 1</v>
      </c>
      <c r="J48" t="str">
        <f>"Tuglas, Friedebert"</f>
        <v>Tuglas, Friedebert</v>
      </c>
      <c r="K48" t="str">
        <f>"Noor-Eesti Kirjastus, Tartu"</f>
        <v>Noor-Eesti Kirjastus, Tartu</v>
      </c>
      <c r="L48" t="str">
        <f>""</f>
        <v/>
      </c>
      <c r="M48" t="str">
        <f>""</f>
        <v/>
      </c>
    </row>
    <row r="49" spans="1:13" ht="15">
      <c r="A49" t="s">
        <v>255</v>
      </c>
      <c r="B49" t="str">
        <f>"6687"</f>
        <v>6687</v>
      </c>
      <c r="C49" t="str">
        <f>"1905"</f>
        <v>1905</v>
      </c>
      <c r="D49" t="str">
        <f>"Päivä Helsingissä : pilakuva"</f>
        <v>Päivä Helsingissä : pilakuva</v>
      </c>
      <c r="E49" t="str">
        <f t="shared" si="1"/>
        <v>viro</v>
      </c>
      <c r="F49" t="str">
        <f>"lühiproosa, proosa; pakinat"</f>
        <v>lühiproosa, proosa; pakinat</v>
      </c>
      <c r="G49" t="str">
        <f>"  täiskasvanud"</f>
        <v xml:space="preserve">  täiskasvanud</v>
      </c>
      <c r="H49" t="str">
        <f t="shared" si="2"/>
        <v>1912</v>
      </c>
      <c r="I49" t="str">
        <f>"Päev Helsingis"</f>
        <v>Päev Helsingis</v>
      </c>
      <c r="J49" t="str">
        <f>"Suits, Gustav"</f>
        <v>Suits, Gustav</v>
      </c>
      <c r="K49" t="str">
        <f>"Noor-Eesti Kirjastus, Tartu"</f>
        <v>Noor-Eesti Kirjastus, Tartu</v>
      </c>
      <c r="L49" t="str">
        <f>""</f>
        <v/>
      </c>
      <c r="M49" t="str">
        <f>""</f>
        <v/>
      </c>
    </row>
    <row r="50" spans="1:13" ht="15">
      <c r="A50" t="s">
        <v>292</v>
      </c>
      <c r="B50" t="str">
        <f>"10538"</f>
        <v>10538</v>
      </c>
      <c r="C50" t="str">
        <f>"1849"</f>
        <v>1849</v>
      </c>
      <c r="D50" t="str">
        <f>"Kalevala"</f>
        <v>Kalevala</v>
      </c>
      <c r="E50" t="str">
        <f t="shared" si="1"/>
        <v>viro</v>
      </c>
      <c r="F50" t="str">
        <f>"luule, rahvaluule"</f>
        <v>luule, rahvaluule</v>
      </c>
      <c r="G50" t="str">
        <f>"  täiskasvanud"</f>
        <v xml:space="preserve">  täiskasvanud</v>
      </c>
      <c r="H50" t="str">
        <f t="shared" si="2"/>
        <v>1912</v>
      </c>
      <c r="I50" t="str">
        <f>"Kalewala. 1. jagu"</f>
        <v>Kalewala. 1. jagu</v>
      </c>
      <c r="J50" t="str">
        <f>"Eisen, Matthias Johann"</f>
        <v>Eisen, Matthias Johann</v>
      </c>
      <c r="K50" t="str">
        <f>"Postimees, Tartu"</f>
        <v>Postimees, Tartu</v>
      </c>
      <c r="L50" t="str">
        <f>"2. p."</f>
        <v>2. p.</v>
      </c>
      <c r="M50" t="str">
        <f>""</f>
        <v/>
      </c>
    </row>
    <row r="51" spans="1:13" ht="15">
      <c r="A51" t="s">
        <v>147</v>
      </c>
      <c r="B51" t="str">
        <f>"6636"</f>
        <v>6636</v>
      </c>
      <c r="C51" t="str">
        <f>"1913"</f>
        <v>1913</v>
      </c>
      <c r="D51" t="str">
        <f>"Lähtevien laivojen kaupunki"</f>
        <v>Lähtevien laivojen kaupunki</v>
      </c>
      <c r="E51" t="str">
        <f t="shared" si="1"/>
        <v>viro</v>
      </c>
      <c r="F51" t="str">
        <f>"lühiproosa, proosa"</f>
        <v>lühiproosa, proosa</v>
      </c>
      <c r="G51" t="str">
        <f>"  täiskasvanud"</f>
        <v xml:space="preserve">  täiskasvanud</v>
      </c>
      <c r="H51" t="str">
        <f>"1913"</f>
        <v>1913</v>
      </c>
      <c r="I51" t="str">
        <f>"Lahkuvate laevade linn"</f>
        <v>Lahkuvate laevade linn</v>
      </c>
      <c r="J51" t="str">
        <f>"Tuglas, Friedebert"</f>
        <v>Tuglas, Friedebert</v>
      </c>
      <c r="K51" t="str">
        <f>"Noor-Eesti Kirjastus, Tartu"</f>
        <v>Noor-Eesti Kirjastus, Tartu</v>
      </c>
      <c r="L51" t="str">
        <f>""</f>
        <v/>
      </c>
      <c r="M51" t="str">
        <f>""</f>
        <v/>
      </c>
    </row>
    <row r="52" spans="1:13" ht="15">
      <c r="A52" t="s">
        <v>273</v>
      </c>
      <c r="B52" t="str">
        <f>"6696"</f>
        <v>6696</v>
      </c>
      <c r="C52" t="str">
        <f>"1907"</f>
        <v>1907</v>
      </c>
      <c r="D52" t="str">
        <f>"Taistelu Heikkilän talosta y.m. kertomuksia"</f>
        <v>Taistelu Heikkilän talosta y.m. kertomuksia</v>
      </c>
      <c r="E52" t="str">
        <f t="shared" si="1"/>
        <v>viro</v>
      </c>
      <c r="F52" t="str">
        <f>"lühiproosa, proosa"</f>
        <v>lühiproosa, proosa</v>
      </c>
      <c r="G52" t="str">
        <f>"  täiskasvanud"</f>
        <v xml:space="preserve">  täiskasvanud</v>
      </c>
      <c r="H52" t="str">
        <f>"1914"</f>
        <v>1914</v>
      </c>
      <c r="I52" t="str">
        <f>"Wõitlus Heikkilä talu pärast"</f>
        <v>Wõitlus Heikkilä talu pärast</v>
      </c>
      <c r="J52" t="str">
        <f>"T[au]k, M."</f>
        <v>T[au]k, M.</v>
      </c>
      <c r="K52" t="str">
        <f>"G. Zirk, Tartu"</f>
        <v>G. Zirk, Tartu</v>
      </c>
      <c r="L52" t="str">
        <f>""</f>
        <v/>
      </c>
      <c r="M52" t="str">
        <f>""</f>
        <v/>
      </c>
    </row>
    <row r="53" spans="1:13" ht="15">
      <c r="A53" t="s">
        <v>394</v>
      </c>
      <c r="B53" t="str">
        <f>"6721"</f>
        <v>6721</v>
      </c>
      <c r="C53" t="str">
        <f>""</f>
        <v/>
      </c>
      <c r="D53" t="str">
        <f>""</f>
        <v/>
      </c>
      <c r="E53" t="str">
        <f t="shared" si="1"/>
        <v>viro</v>
      </c>
      <c r="F53" t="str">
        <f>"lühiproosa, proosa"</f>
        <v>lühiproosa, proosa</v>
      </c>
      <c r="G53" t="str">
        <f>"  täiskasvanud"</f>
        <v xml:space="preserve">  täiskasvanud</v>
      </c>
      <c r="H53" t="str">
        <f>"1914"</f>
        <v>1914</v>
      </c>
      <c r="I53" t="str">
        <f>"Soome jutustused tõsisest elust"</f>
        <v>Soome jutustused tõsisest elust</v>
      </c>
      <c r="J53" t="str">
        <f>"Prants, Anna Mathilde"</f>
        <v>Prants, Anna Mathilde</v>
      </c>
      <c r="K53" t="str">
        <f>"[s.n.], Tallinn"</f>
        <v>[s.n.], Tallinn</v>
      </c>
      <c r="L53" t="str">
        <f>""</f>
        <v/>
      </c>
      <c r="M53" t="str">
        <f>""</f>
        <v/>
      </c>
    </row>
    <row r="54" spans="1:13" ht="15">
      <c r="A54" t="s">
        <v>147</v>
      </c>
      <c r="B54" t="str">
        <f>"6642"</f>
        <v>6642</v>
      </c>
      <c r="C54" t="str">
        <f>"1914"</f>
        <v>1914</v>
      </c>
      <c r="D54" t="str">
        <f>"Seitsemän : Titanic-novelleja"</f>
        <v>Seitsemän : Titanic-novelleja</v>
      </c>
      <c r="E54" t="str">
        <f t="shared" si="1"/>
        <v>viro</v>
      </c>
      <c r="F54" t="str">
        <f>"lühiproosa, proosa"</f>
        <v>lühiproosa, proosa</v>
      </c>
      <c r="G54" t="str">
        <f>"  täiskasvanud"</f>
        <v xml:space="preserve">  täiskasvanud</v>
      </c>
      <c r="H54" t="str">
        <f>"1918"</f>
        <v>1918</v>
      </c>
      <c r="I54" t="str">
        <f>"Seitse novelli"</f>
        <v>Seitse novelli</v>
      </c>
      <c r="J54" t="str">
        <f>"Puru, Martin"</f>
        <v>Puru, Martin</v>
      </c>
      <c r="K54" t="str">
        <f>"Noor-Eesti Kirjastus, Tartu"</f>
        <v>Noor-Eesti Kirjastus, Tartu</v>
      </c>
      <c r="L54" t="str">
        <f>""</f>
        <v/>
      </c>
      <c r="M54" t="str">
        <f>""</f>
        <v/>
      </c>
    </row>
    <row r="55" spans="1:13" ht="15">
      <c r="A55" t="s">
        <v>147</v>
      </c>
      <c r="B55" t="str">
        <f>"10214"</f>
        <v>10214</v>
      </c>
      <c r="C55" t="str">
        <f>"1915"</f>
        <v>1915</v>
      </c>
      <c r="D55" t="str">
        <f>"Tähdenlento : virolaisen runoilijattaren Koidulan elämä"</f>
        <v>Tähdenlento : virolaisen runoilijattaren Koidulan elämä</v>
      </c>
      <c r="E55" t="str">
        <f t="shared" si="1"/>
        <v>viro</v>
      </c>
      <c r="F55" t="str">
        <f>""</f>
        <v/>
      </c>
      <c r="G55" t="str">
        <f>"  täiskasvanud"</f>
        <v xml:space="preserve">  täiskasvanud</v>
      </c>
      <c r="H55" t="str">
        <f>"1918"</f>
        <v>1918</v>
      </c>
      <c r="I55" t="str">
        <f>"Tähelend"</f>
        <v>Tähelend</v>
      </c>
      <c r="J55" t="str">
        <f>""</f>
        <v/>
      </c>
      <c r="K55" t="str">
        <f>""</f>
        <v/>
      </c>
      <c r="L55" t="str">
        <f>""</f>
        <v/>
      </c>
      <c r="M55" t="str">
        <f>""</f>
        <v/>
      </c>
    </row>
    <row r="56" spans="1:13" ht="15">
      <c r="A56" t="s">
        <v>9</v>
      </c>
      <c r="B56" t="str">
        <f>"6870"</f>
        <v>6870</v>
      </c>
      <c r="C56" t="str">
        <f>""</f>
        <v/>
      </c>
      <c r="D56" t="str">
        <f>""</f>
        <v/>
      </c>
      <c r="E56" t="str">
        <f t="shared" si="1"/>
        <v>viro</v>
      </c>
      <c r="F56" t="str">
        <f>"lühiproosa, proosa"</f>
        <v>lühiproosa, proosa</v>
      </c>
      <c r="G56" t="str">
        <f>"  täiskasvanud"</f>
        <v xml:space="preserve">  täiskasvanud</v>
      </c>
      <c r="H56" t="str">
        <f>"1919"</f>
        <v>1919</v>
      </c>
      <c r="I56" t="str">
        <f>"Valitud leheküljed. 2"</f>
        <v>Valitud leheküljed. 2</v>
      </c>
      <c r="J56" t="str">
        <f>"Tuglas, Friedebert"</f>
        <v>Tuglas, Friedebert</v>
      </c>
      <c r="K56" t="str">
        <f>"Noor-Eesti Kirjastus, Tartu"</f>
        <v>Noor-Eesti Kirjastus, Tartu</v>
      </c>
      <c r="L56" t="str">
        <f>""</f>
        <v/>
      </c>
      <c r="M56" t="str">
        <f>""</f>
        <v/>
      </c>
    </row>
    <row r="57" spans="1:13" ht="15">
      <c r="A57" t="s">
        <v>185</v>
      </c>
      <c r="B57" t="str">
        <f>"6870"</f>
        <v>6870</v>
      </c>
      <c r="C57" t="str">
        <f>""</f>
        <v/>
      </c>
      <c r="D57" t="str">
        <f>""</f>
        <v/>
      </c>
      <c r="E57" t="str">
        <f t="shared" si="1"/>
        <v>viro</v>
      </c>
      <c r="F57" t="str">
        <f>"lühiproosa, proosa"</f>
        <v>lühiproosa, proosa</v>
      </c>
      <c r="G57" t="str">
        <f>"  täiskasvanud"</f>
        <v xml:space="preserve">  täiskasvanud</v>
      </c>
      <c r="H57" t="str">
        <f>"1919"</f>
        <v>1919</v>
      </c>
      <c r="I57" t="str">
        <f>"Valitud leheküljed. 2"</f>
        <v>Valitud leheküljed. 2</v>
      </c>
      <c r="J57" t="str">
        <f>"Tuglas, Friedebert"</f>
        <v>Tuglas, Friedebert</v>
      </c>
      <c r="K57" t="str">
        <f>"Noor-Eesti Kirjastus, Tartu"</f>
        <v>Noor-Eesti Kirjastus, Tartu</v>
      </c>
      <c r="L57" t="str">
        <f>""</f>
        <v/>
      </c>
      <c r="M57" t="str">
        <f>""</f>
        <v/>
      </c>
    </row>
    <row r="58" spans="1:13" ht="15">
      <c r="A58" t="s">
        <v>255</v>
      </c>
      <c r="B58" t="str">
        <f>"6689"</f>
        <v>6689</v>
      </c>
      <c r="C58" t="str">
        <f>"1903"</f>
        <v>1903</v>
      </c>
      <c r="D58" t="str">
        <f>"Päiväperhoja : pieniä tarinoita"</f>
        <v>Päiväperhoja : pieniä tarinoita</v>
      </c>
      <c r="E58" t="str">
        <f t="shared" si="1"/>
        <v>viro</v>
      </c>
      <c r="F58" t="str">
        <f>"lühiproosa, proosa"</f>
        <v>lühiproosa, proosa</v>
      </c>
      <c r="G58" t="str">
        <f>"  täiskasvanud"</f>
        <v xml:space="preserve">  täiskasvanud</v>
      </c>
      <c r="H58" t="str">
        <f>"1920"</f>
        <v>1920</v>
      </c>
      <c r="I58" t="str">
        <f>"Ühepäeva-liblikad"</f>
        <v>Ühepäeva-liblikad</v>
      </c>
      <c r="J58" t="str">
        <f>"Linde, Bernhard"</f>
        <v>Linde, Bernhard</v>
      </c>
      <c r="K58" t="str">
        <f>"Varrak, Tallinn"</f>
        <v>Varrak, Tallinn</v>
      </c>
      <c r="L58" t="str">
        <f>"2. p."</f>
        <v>2. p.</v>
      </c>
      <c r="M58" t="str">
        <f>""</f>
        <v/>
      </c>
    </row>
    <row r="59" spans="1:13" ht="15">
      <c r="A59" t="s">
        <v>147</v>
      </c>
      <c r="B59" t="str">
        <f>"14982"</f>
        <v>14982</v>
      </c>
      <c r="C59" t="str">
        <f>"1918"</f>
        <v>1918</v>
      </c>
      <c r="D59" t="str">
        <f>"Nuori-Viro : Muotokuvia ja suuntaviivoja"</f>
        <v>Nuori-Viro : Muotokuvia ja suuntaviivoja</v>
      </c>
      <c r="E59" t="str">
        <f t="shared" si="1"/>
        <v>viro</v>
      </c>
      <c r="F59" t="str">
        <f>""</f>
        <v/>
      </c>
      <c r="G59" t="str">
        <f>"  täiskasvanud"</f>
        <v xml:space="preserve">  täiskasvanud</v>
      </c>
      <c r="H59" t="str">
        <f>"1921"</f>
        <v>1921</v>
      </c>
      <c r="I59" t="str">
        <f>"Noor-Eesti"</f>
        <v>Noor-Eesti</v>
      </c>
      <c r="J59" t="str">
        <f>"Tuglas, Friedebert"</f>
        <v>Tuglas, Friedebert</v>
      </c>
      <c r="K59" t="str">
        <f>"Noor-Eesti Kirjastus, Tartu"</f>
        <v>Noor-Eesti Kirjastus, Tartu</v>
      </c>
      <c r="L59" t="str">
        <f>""</f>
        <v/>
      </c>
      <c r="M59" t="str">
        <f>""</f>
        <v/>
      </c>
    </row>
    <row r="60" spans="1:13" ht="15">
      <c r="A60" t="s">
        <v>292</v>
      </c>
      <c r="B60" t="str">
        <f>"10542"</f>
        <v>10542</v>
      </c>
      <c r="C60" t="str">
        <f>"1849"</f>
        <v>1849</v>
      </c>
      <c r="D60" t="str">
        <f>"Kalevala"</f>
        <v>Kalevala</v>
      </c>
      <c r="E60" t="str">
        <f t="shared" si="1"/>
        <v>viro</v>
      </c>
      <c r="F60" t="str">
        <f>"folkloor"</f>
        <v>folkloor</v>
      </c>
      <c r="G60" t="str">
        <f>"  täiskasvanud"</f>
        <v xml:space="preserve">  täiskasvanud</v>
      </c>
      <c r="H60" t="str">
        <f>"1921"</f>
        <v>1921</v>
      </c>
      <c r="I60" t="str">
        <f>"Kullervo : lugulaul Kalevalast"</f>
        <v>Kullervo : lugulaul Kalevalast</v>
      </c>
      <c r="J60" t="str">
        <f>"Ridala, Villem"</f>
        <v>Ridala, Villem</v>
      </c>
      <c r="K60" t="str">
        <f>"Postimees, Tartu"</f>
        <v>Postimees, Tartu</v>
      </c>
      <c r="L60" t="str">
        <f>""</f>
        <v/>
      </c>
      <c r="M60" t="str">
        <f>""</f>
        <v/>
      </c>
    </row>
    <row r="61" spans="1:13" ht="15">
      <c r="A61" t="s">
        <v>292</v>
      </c>
      <c r="B61" t="str">
        <f>"10541"</f>
        <v>10541</v>
      </c>
      <c r="C61" t="str">
        <f>"1849"</f>
        <v>1849</v>
      </c>
      <c r="D61" t="str">
        <f>"Kalevala"</f>
        <v>Kalevala</v>
      </c>
      <c r="E61" t="str">
        <f t="shared" si="1"/>
        <v>viro</v>
      </c>
      <c r="F61" t="str">
        <f>"luule, rahvaluule"</f>
        <v>luule, rahvaluule</v>
      </c>
      <c r="G61" t="str">
        <f>"  täiskasvanud"</f>
        <v xml:space="preserve">  täiskasvanud</v>
      </c>
      <c r="H61" t="str">
        <f>"1921"</f>
        <v>1921</v>
      </c>
      <c r="I61" t="str">
        <f>"Kalewala. 2. jagu"</f>
        <v>Kalewala. 2. jagu</v>
      </c>
      <c r="J61" t="str">
        <f>"Eisen, Matthias Johann"</f>
        <v>Eisen, Matthias Johann</v>
      </c>
      <c r="K61" t="str">
        <f>"Kool, Tallinn"</f>
        <v>Kool, Tallinn</v>
      </c>
      <c r="L61" t="str">
        <f>"2. p."</f>
        <v>2. p.</v>
      </c>
      <c r="M61" t="str">
        <f>""</f>
        <v/>
      </c>
    </row>
    <row r="62" spans="1:13" ht="15">
      <c r="A62" t="s">
        <v>113</v>
      </c>
      <c r="B62" t="str">
        <f>"6619"</f>
        <v>6619</v>
      </c>
      <c r="C62" t="str">
        <f>"1894"</f>
        <v>1894</v>
      </c>
      <c r="D62" t="str">
        <f>"Juho Vesainen"</f>
        <v>Juho Vesainen</v>
      </c>
      <c r="E62" t="str">
        <f t="shared" si="1"/>
        <v>viro</v>
      </c>
      <c r="F62" t="str">
        <f>"romaanid; proosa"</f>
        <v>romaanid; proosa</v>
      </c>
      <c r="G62" t="str">
        <f>"  täiskasvanud"</f>
        <v xml:space="preserve">  täiskasvanud</v>
      </c>
      <c r="H62" t="str">
        <f aca="true" t="shared" si="3" ref="H62:H67">"1922"</f>
        <v>1922</v>
      </c>
      <c r="I62" t="str">
        <f>"Juho Vesainen"</f>
        <v>Juho Vesainen</v>
      </c>
      <c r="J62" t="str">
        <f>"Tammann, A."</f>
        <v>Tammann, A.</v>
      </c>
      <c r="K62" t="str">
        <f>"[s.n.], Tallinn"</f>
        <v>[s.n.], Tallinn</v>
      </c>
      <c r="L62" t="str">
        <f>""</f>
        <v/>
      </c>
      <c r="M62" t="str">
        <f>""</f>
        <v/>
      </c>
    </row>
    <row r="63" spans="1:13" ht="15">
      <c r="A63" t="s">
        <v>141</v>
      </c>
      <c r="B63" t="str">
        <f>"6633"</f>
        <v>6633</v>
      </c>
      <c r="C63" t="str">
        <f>"1908"</f>
        <v>1908</v>
      </c>
      <c r="D63" t="str">
        <f>"Pikku Annin elämästä"</f>
        <v>Pikku Annin elämästä</v>
      </c>
      <c r="E63" t="str">
        <f t="shared" si="1"/>
        <v>viro</v>
      </c>
      <c r="F63" t="str">
        <f>"romaanid; proosa"</f>
        <v>romaanid; proosa</v>
      </c>
      <c r="G63" t="str">
        <f>" lapsed ja noored"</f>
        <v xml:space="preserve"> lapsed ja noored</v>
      </c>
      <c r="H63" t="str">
        <f t="shared" si="3"/>
        <v>1922</v>
      </c>
      <c r="I63" t="str">
        <f>"Wäikese Anni elulugu"</f>
        <v>Wäikese Anni elulugu</v>
      </c>
      <c r="J63" t="str">
        <f>"Prants, Anna Mathilde"</f>
        <v>Prants, Anna Mathilde</v>
      </c>
      <c r="K63" t="str">
        <f>"Kool, Tallinn"</f>
        <v>Kool, Tallinn</v>
      </c>
      <c r="L63" t="str">
        <f>""</f>
        <v/>
      </c>
      <c r="M63" t="str">
        <f>""</f>
        <v/>
      </c>
    </row>
    <row r="64" spans="1:13" ht="15">
      <c r="A64" t="s">
        <v>147</v>
      </c>
      <c r="B64" t="str">
        <f>"6647"</f>
        <v>6647</v>
      </c>
      <c r="C64" t="str">
        <f>"1921"</f>
        <v>1921</v>
      </c>
      <c r="D64" t="str">
        <f>"Vieras veri : rakkausnovelleja"</f>
        <v>Vieras veri : rakkausnovelleja</v>
      </c>
      <c r="E64" t="str">
        <f t="shared" si="1"/>
        <v>viro</v>
      </c>
      <c r="F64" t="str">
        <f>"lühiproosa, proosa"</f>
        <v>lühiproosa, proosa</v>
      </c>
      <c r="G64" t="str">
        <f>"  täiskasvanud"</f>
        <v xml:space="preserve">  täiskasvanud</v>
      </c>
      <c r="H64" t="str">
        <f t="shared" si="3"/>
        <v>1922</v>
      </c>
      <c r="I64" t="str">
        <f>"Võõras veri"</f>
        <v>Võõras veri</v>
      </c>
      <c r="J64" t="str">
        <f>"Tuglas, Friedebert"</f>
        <v>Tuglas, Friedebert</v>
      </c>
      <c r="K64" t="str">
        <f>"Varrak, Tallinn"</f>
        <v>Varrak, Tallinn</v>
      </c>
      <c r="L64" t="str">
        <f>""</f>
        <v/>
      </c>
      <c r="M64" t="str">
        <f>""</f>
        <v/>
      </c>
    </row>
    <row r="65" spans="1:13" ht="15">
      <c r="A65" t="s">
        <v>255</v>
      </c>
      <c r="B65" t="str">
        <f>"10162"</f>
        <v>10162</v>
      </c>
      <c r="C65" t="str">
        <f>"1903"</f>
        <v>1903</v>
      </c>
      <c r="D65" t="str">
        <f>"Helkavirsiä"</f>
        <v>Helkavirsiä</v>
      </c>
      <c r="E65" t="str">
        <f t="shared" si="1"/>
        <v>viro</v>
      </c>
      <c r="F65" t="str">
        <f>"luule, lüürika"</f>
        <v>luule, lüürika</v>
      </c>
      <c r="G65" t="str">
        <f>"  täiskasvanud"</f>
        <v xml:space="preserve">  täiskasvanud</v>
      </c>
      <c r="H65" t="str">
        <f t="shared" si="3"/>
        <v>1922</v>
      </c>
      <c r="I65" t="str">
        <f>"Helkalaulud"</f>
        <v>Helkalaulud</v>
      </c>
      <c r="J65" t="str">
        <f>"Anni, August"</f>
        <v>Anni, August</v>
      </c>
      <c r="K65" t="str">
        <f>"Eesti Kirjanduse Seltsi Koolikirjanduse toimkonna kirjastus, Tallinn"</f>
        <v>Eesti Kirjanduse Seltsi Koolikirjanduse toimkonna kirjastus, Tallinn</v>
      </c>
      <c r="L65" t="str">
        <f>""</f>
        <v/>
      </c>
      <c r="M65" t="str">
        <f>""</f>
        <v/>
      </c>
    </row>
    <row r="66" spans="1:13" ht="15">
      <c r="A66" t="s">
        <v>255</v>
      </c>
      <c r="B66" t="str">
        <f>"6685"</f>
        <v>6685</v>
      </c>
      <c r="C66" t="str">
        <f>"1903"</f>
        <v>1903</v>
      </c>
      <c r="D66" t="str">
        <f>"Helkavirsiä"</f>
        <v>Helkavirsiä</v>
      </c>
      <c r="E66" t="str">
        <f t="shared" si="1"/>
        <v>viro</v>
      </c>
      <c r="F66" t="str">
        <f>"lühiproosa, luule"</f>
        <v>lühiproosa, luule</v>
      </c>
      <c r="G66" t="str">
        <f>"  täiskasvanud"</f>
        <v xml:space="preserve">  täiskasvanud</v>
      </c>
      <c r="H66" t="str">
        <f t="shared" si="3"/>
        <v>1922</v>
      </c>
      <c r="I66" t="str">
        <f>"Pühad laulud"</f>
        <v>Pühad laulud</v>
      </c>
      <c r="J66" t="str">
        <f>"Ridala, Villem"</f>
        <v>Ridala, Villem</v>
      </c>
      <c r="K66" t="str">
        <f>"Kool, Tallinn"</f>
        <v>Kool, Tallinn</v>
      </c>
      <c r="L66" t="str">
        <f>""</f>
        <v/>
      </c>
      <c r="M66" t="str">
        <f>""</f>
        <v/>
      </c>
    </row>
    <row r="67" spans="1:13" ht="15">
      <c r="A67" t="s">
        <v>519</v>
      </c>
      <c r="B67" t="str">
        <f>"16387"</f>
        <v>16387</v>
      </c>
      <c r="C67" t="str">
        <f>""</f>
        <v/>
      </c>
      <c r="D67" t="str">
        <f>""</f>
        <v/>
      </c>
      <c r="E67" t="str">
        <f t="shared" si="1"/>
        <v>viro</v>
      </c>
      <c r="F67" t="str">
        <f>"muinasjutud; proosa"</f>
        <v>muinasjutud; proosa</v>
      </c>
      <c r="G67" t="str">
        <f>" lapsed ja noored"</f>
        <v xml:space="preserve"> lapsed ja noored</v>
      </c>
      <c r="H67" t="str">
        <f t="shared" si="3"/>
        <v>1922</v>
      </c>
      <c r="I67" t="str">
        <f>"Kolm muinasjuttu"</f>
        <v>Kolm muinasjuttu</v>
      </c>
      <c r="J67" t="str">
        <f>"Nurmik, M."</f>
        <v>Nurmik, M.</v>
      </c>
      <c r="K67" t="str">
        <f>"Tallinna Eesti kirjastus-ü̈hisus, Tallinn"</f>
        <v>Tallinna Eesti kirjastus-ü̈hisus, Tallinn</v>
      </c>
      <c r="L67" t="str">
        <f>""</f>
        <v/>
      </c>
      <c r="M67" t="str">
        <f>""</f>
        <v/>
      </c>
    </row>
    <row r="68" spans="1:13" ht="15">
      <c r="A68" t="s">
        <v>9</v>
      </c>
      <c r="B68" t="str">
        <f>"6583"</f>
        <v>6583</v>
      </c>
      <c r="C68" t="str">
        <f>"1912"</f>
        <v>1912</v>
      </c>
      <c r="D68" t="str">
        <f>"Tyven meri : lastuja"</f>
        <v>Tyven meri : lastuja</v>
      </c>
      <c r="E68" t="str">
        <f t="shared" si="1"/>
        <v>viro</v>
      </c>
      <c r="F68" t="str">
        <f>"lühiproosa, proosa"</f>
        <v>lühiproosa, proosa</v>
      </c>
      <c r="G68" t="str">
        <f>"  täiskasvanud"</f>
        <v xml:space="preserve">  täiskasvanud</v>
      </c>
      <c r="H68" t="str">
        <f>"1923"</f>
        <v>1923</v>
      </c>
      <c r="I68" t="str">
        <f>"Vaikne meri"</f>
        <v>Vaikne meri</v>
      </c>
      <c r="J68" t="str">
        <f>"Tuglas, Friedebert"</f>
        <v>Tuglas, Friedebert</v>
      </c>
      <c r="K68" t="str">
        <f>"Eesti Kirjanduse Seltsi Koolikirjanduse toimkonna kirjastus, Tallinn"</f>
        <v>Eesti Kirjanduse Seltsi Koolikirjanduse toimkonna kirjastus, Tallinn</v>
      </c>
      <c r="L68" t="str">
        <f>""</f>
        <v/>
      </c>
      <c r="M68" t="str">
        <f>""</f>
        <v/>
      </c>
    </row>
    <row r="69" spans="1:13" ht="15">
      <c r="A69" t="s">
        <v>466</v>
      </c>
      <c r="B69" t="str">
        <f>"6740"</f>
        <v>6740</v>
      </c>
      <c r="C69" t="str">
        <f>"1919"</f>
        <v>1919</v>
      </c>
      <c r="D69" t="str">
        <f>"Hurskas kurjuus"</f>
        <v>Hurskas kurjuus</v>
      </c>
      <c r="E69" t="str">
        <f t="shared" si="1"/>
        <v>viro</v>
      </c>
      <c r="F69" t="str">
        <f>"romaanid; proosa"</f>
        <v>romaanid; proosa</v>
      </c>
      <c r="G69" t="str">
        <f>"  täiskasvanud"</f>
        <v xml:space="preserve">  täiskasvanud</v>
      </c>
      <c r="H69" t="str">
        <f>"1923"</f>
        <v>1923</v>
      </c>
      <c r="I69" t="str">
        <f>"Vaga viletsus"</f>
        <v>Vaga viletsus</v>
      </c>
      <c r="J69" t="str">
        <f>"Annist, August"</f>
        <v>Annist, August</v>
      </c>
      <c r="K69" t="str">
        <f>"Eesti Kirjanduse Seltsi Koolikirjanduse toimkonna kirjastus, Tallinn"</f>
        <v>Eesti Kirjanduse Seltsi Koolikirjanduse toimkonna kirjastus, Tallinn</v>
      </c>
      <c r="L69" t="str">
        <f>""</f>
        <v/>
      </c>
      <c r="M69" t="str">
        <f>""</f>
        <v/>
      </c>
    </row>
    <row r="70" spans="1:13" ht="15">
      <c r="A70" t="s">
        <v>484</v>
      </c>
      <c r="B70" t="str">
        <f>"6748"</f>
        <v>6748</v>
      </c>
      <c r="C70" t="str">
        <f>"1865"</f>
        <v>1865</v>
      </c>
      <c r="D70" t="str">
        <f>"Kuun tarinoita"</f>
        <v>Kuun tarinoita</v>
      </c>
      <c r="E70" t="str">
        <f t="shared" si="1"/>
        <v>viro</v>
      </c>
      <c r="F70" t="str">
        <f>"lühiproosa, proosa"</f>
        <v>lühiproosa, proosa</v>
      </c>
      <c r="G70" t="str">
        <f>"  täiskasvanud"</f>
        <v xml:space="preserve">  täiskasvanud</v>
      </c>
      <c r="H70" t="str">
        <f>"1923"</f>
        <v>1923</v>
      </c>
      <c r="I70" t="str">
        <f>"Kuu jutustused"</f>
        <v>Kuu jutustused</v>
      </c>
      <c r="J70" t="str">
        <f>"Mey, Natalie, Rõks, Julie"</f>
        <v>Mey, Natalie, Rõks, Julie</v>
      </c>
      <c r="K70" t="str">
        <f>"Eesti Kirjanduse Selts, Tartu"</f>
        <v>Eesti Kirjanduse Selts, Tartu</v>
      </c>
      <c r="L70" t="str">
        <f>""</f>
        <v/>
      </c>
      <c r="M70" t="str">
        <f>""</f>
        <v/>
      </c>
    </row>
    <row r="71" spans="1:13" ht="15">
      <c r="A71" t="s">
        <v>487</v>
      </c>
      <c r="B71" t="str">
        <f>"6752"</f>
        <v>6752</v>
      </c>
      <c r="C71" t="str">
        <f>"1911"</f>
        <v>1911</v>
      </c>
      <c r="D71" t="str">
        <f>"Jänis Vemmelsäären seikkailuja"</f>
        <v>Jänis Vemmelsäären seikkailuja</v>
      </c>
      <c r="E71" t="str">
        <f t="shared" si="1"/>
        <v>viro</v>
      </c>
      <c r="F71" t="str">
        <f>" proosa"</f>
        <v xml:space="preserve"> proosa</v>
      </c>
      <c r="G71" t="str">
        <f>" lapsed ja noored"</f>
        <v xml:space="preserve"> lapsed ja noored</v>
      </c>
      <c r="H71" t="str">
        <f>"1923"</f>
        <v>1923</v>
      </c>
      <c r="I71" t="str">
        <f>"Jänes Wemmelsääre juhtumised"</f>
        <v>Jänes Wemmelsääre juhtumised</v>
      </c>
      <c r="J71" t="str">
        <f>"Luiga, Linda"</f>
        <v>Luiga, Linda</v>
      </c>
      <c r="K71" t="str">
        <f>"Tallinna Eesti kirjastus-ü̈hisus, Tallinn"</f>
        <v>Tallinna Eesti kirjastus-ü̈hisus, Tallinn</v>
      </c>
      <c r="L71" t="str">
        <f>""</f>
        <v/>
      </c>
      <c r="M71" t="str">
        <f>""</f>
        <v/>
      </c>
    </row>
    <row r="72" spans="1:13" ht="15">
      <c r="A72" t="s">
        <v>519</v>
      </c>
      <c r="B72" t="str">
        <f>"7834"</f>
        <v>7834</v>
      </c>
      <c r="C72" t="str">
        <f>"1853"</f>
        <v>1853</v>
      </c>
      <c r="D72" t="str">
        <f>"Fältskärns berättelser. Första cykeln, Konungens ring"</f>
        <v>Fältskärns berättelser. Första cykeln, Konungens ring</v>
      </c>
      <c r="E72" t="str">
        <f t="shared" si="1"/>
        <v>viro</v>
      </c>
      <c r="F72" t="str">
        <f>"romaanid; proosa"</f>
        <v>romaanid; proosa</v>
      </c>
      <c r="G72" t="str">
        <f>"  täiskasvanud"</f>
        <v xml:space="preserve">  täiskasvanud</v>
      </c>
      <c r="H72" t="str">
        <f>"1923"</f>
        <v>1923</v>
      </c>
      <c r="I72" t="str">
        <f>"Velskeri jutustused. Esimene jagu, lugu 1, Kuninga sõrmus"</f>
        <v>Velskeri jutustused. Esimene jagu, lugu 1, Kuninga sõrmus</v>
      </c>
      <c r="J72" t="str">
        <f>"Raudsepp, Ernst"</f>
        <v>Raudsepp, Ernst</v>
      </c>
      <c r="K72" t="str">
        <f>"Eesti Kirjanduse Seltsi Koolikirjanduse toimkonna kirjastus, Tallinn"</f>
        <v>Eesti Kirjanduse Seltsi Koolikirjanduse toimkonna kirjastus, Tallinn</v>
      </c>
      <c r="L72" t="str">
        <f>""</f>
        <v/>
      </c>
      <c r="M72" t="str">
        <f>""</f>
        <v/>
      </c>
    </row>
    <row r="73" spans="1:13" ht="15">
      <c r="A73" t="s">
        <v>9</v>
      </c>
      <c r="B73" t="str">
        <f>"10091"</f>
        <v>10091</v>
      </c>
      <c r="C73" t="str">
        <f>"1893"</f>
        <v>1893</v>
      </c>
      <c r="D73" t="str">
        <f>"Papin rouva"</f>
        <v>Papin rouva</v>
      </c>
      <c r="E73" t="str">
        <f t="shared" si="1"/>
        <v>viro</v>
      </c>
      <c r="F73" t="str">
        <f>"romaanid; proosa"</f>
        <v>romaanid; proosa</v>
      </c>
      <c r="G73" t="str">
        <f>"  täiskasvanud"</f>
        <v xml:space="preserve">  täiskasvanud</v>
      </c>
      <c r="H73" t="str">
        <f aca="true" t="shared" si="4" ref="H73:H79">"1924"</f>
        <v>1924</v>
      </c>
      <c r="I73" t="str">
        <f>"Õpetaja proua"</f>
        <v>Õpetaja proua</v>
      </c>
      <c r="J73" t="str">
        <f>"Ridala, Villem"</f>
        <v>Ridala, Villem</v>
      </c>
      <c r="K73" t="str">
        <f>"Tallinna Eesti kirjastus-ü̈hisus, Tallinn"</f>
        <v>Tallinna Eesti kirjastus-ü̈hisus, Tallinn</v>
      </c>
      <c r="L73" t="str">
        <f>""</f>
        <v/>
      </c>
      <c r="M73" t="str">
        <f>""</f>
        <v/>
      </c>
    </row>
    <row r="74" spans="1:13" ht="15">
      <c r="A74" t="s">
        <v>135</v>
      </c>
      <c r="B74" t="str">
        <f>"10784"</f>
        <v>10784</v>
      </c>
      <c r="C74" t="str">
        <f>"1914"</f>
        <v>1914</v>
      </c>
      <c r="D74" t="str">
        <f>"Pohjalaisia : kansannäytelmä kolmessa näytöksessä"</f>
        <v>Pohjalaisia : kansannäytelmä kolmessa näytöksessä</v>
      </c>
      <c r="E74" t="str">
        <f t="shared" si="1"/>
        <v>viro</v>
      </c>
      <c r="F74" t="str">
        <f>"näidendid; draama"</f>
        <v>näidendid; draama</v>
      </c>
      <c r="G74" t="str">
        <f>"  täiskasvanud"</f>
        <v xml:space="preserve">  täiskasvanud</v>
      </c>
      <c r="H74" t="str">
        <f t="shared" si="4"/>
        <v>1924</v>
      </c>
      <c r="I74" t="str">
        <f>"Põhjalased"</f>
        <v>Põhjalased</v>
      </c>
      <c r="J74" t="str">
        <f>"Ploompuu, Aleksander"</f>
        <v>Ploompuu, Aleksander</v>
      </c>
      <c r="K74" t="str">
        <f>"Tavet Mutsu, Tallinn"</f>
        <v>Tavet Mutsu, Tallinn</v>
      </c>
      <c r="L74" t="str">
        <f>""</f>
        <v/>
      </c>
      <c r="M74" t="str">
        <f>""</f>
        <v/>
      </c>
    </row>
    <row r="75" spans="1:13" ht="15">
      <c r="A75" t="s">
        <v>147</v>
      </c>
      <c r="B75" t="str">
        <f>"10158"</f>
        <v>10158</v>
      </c>
      <c r="C75" t="str">
        <f>"1923"</f>
        <v>1923</v>
      </c>
      <c r="D75" t="str">
        <f>"Barbara von Tisenhusen"</f>
        <v>Barbara von Tisenhusen</v>
      </c>
      <c r="E75" t="str">
        <f aca="true" t="shared" si="5" ref="E75:E138">"viro"</f>
        <v>viro</v>
      </c>
      <c r="F75" t="str">
        <f>"romaanid; proosa"</f>
        <v>romaanid; proosa</v>
      </c>
      <c r="G75" t="str">
        <f>"  täiskasvanud"</f>
        <v xml:space="preserve">  täiskasvanud</v>
      </c>
      <c r="H75" t="str">
        <f t="shared" si="4"/>
        <v>1924</v>
      </c>
      <c r="I75" t="str">
        <f>"Barbara von Tisenhusen"</f>
        <v>Barbara von Tisenhusen</v>
      </c>
      <c r="J75" t="str">
        <f>"Tuglas, Friedebert"</f>
        <v>Tuglas, Friedebert</v>
      </c>
      <c r="K75" t="str">
        <f>"Warrak, Tartu"</f>
        <v>Warrak, Tartu</v>
      </c>
      <c r="L75" t="str">
        <f>""</f>
        <v/>
      </c>
      <c r="M75" t="str">
        <f>""</f>
        <v/>
      </c>
    </row>
    <row r="76" spans="1:13" ht="15">
      <c r="A76" t="s">
        <v>185</v>
      </c>
      <c r="B76" t="str">
        <f>"9766"</f>
        <v>9766</v>
      </c>
      <c r="C76" t="str">
        <f>"1870"</f>
        <v>1870</v>
      </c>
      <c r="D76" t="str">
        <f>"Seitsemän veljestä"</f>
        <v>Seitsemän veljestä</v>
      </c>
      <c r="E76" t="str">
        <f t="shared" si="5"/>
        <v>viro</v>
      </c>
      <c r="F76" t="str">
        <f>"romaanid; proosa"</f>
        <v>romaanid; proosa</v>
      </c>
      <c r="G76" t="str">
        <f>"  täiskasvanud"</f>
        <v xml:space="preserve">  täiskasvanud</v>
      </c>
      <c r="H76" t="str">
        <f t="shared" si="4"/>
        <v>1924</v>
      </c>
      <c r="I76" t="str">
        <f>"Seitse wenda"</f>
        <v>Seitse wenda</v>
      </c>
      <c r="J76" t="str">
        <f>"Tuglas, Friedebert"</f>
        <v>Tuglas, Friedebert</v>
      </c>
      <c r="K76" t="str">
        <f>"Eesti Kirjanduse Seltsi Koolikirjanduse toimkonna kirjastus, Tallinn"</f>
        <v>Eesti Kirjanduse Seltsi Koolikirjanduse toimkonna kirjastus, Tallinn</v>
      </c>
      <c r="L76" t="str">
        <f>""</f>
        <v/>
      </c>
      <c r="M76" t="str">
        <f>""</f>
        <v/>
      </c>
    </row>
    <row r="77" spans="1:13" ht="15">
      <c r="A77" t="s">
        <v>255</v>
      </c>
      <c r="B77" t="str">
        <f>"6686"</f>
        <v>6686</v>
      </c>
      <c r="C77" t="str">
        <f>"1905"</f>
        <v>1905</v>
      </c>
      <c r="D77" t="str">
        <f>"Päivä Helsingissä : pilakuva"</f>
        <v>Päivä Helsingissä : pilakuva</v>
      </c>
      <c r="E77" t="str">
        <f t="shared" si="5"/>
        <v>viro</v>
      </c>
      <c r="F77" t="str">
        <f>"lühiproosa, proosa; pakinat"</f>
        <v>lühiproosa, proosa; pakinat</v>
      </c>
      <c r="G77" t="str">
        <f>"  täiskasvanud"</f>
        <v xml:space="preserve">  täiskasvanud</v>
      </c>
      <c r="H77" t="str">
        <f t="shared" si="4"/>
        <v>1924</v>
      </c>
      <c r="I77" t="str">
        <f>"Päev Helsingis"</f>
        <v>Päev Helsingis</v>
      </c>
      <c r="J77" t="str">
        <f>"Suits, Gustav"</f>
        <v>Suits, Gustav</v>
      </c>
      <c r="K77" t="str">
        <f>"Varrak, Tallinn"</f>
        <v>Varrak, Tallinn</v>
      </c>
      <c r="L77" t="str">
        <f>"2. p."</f>
        <v>2. p.</v>
      </c>
      <c r="M77" t="str">
        <f>""</f>
        <v/>
      </c>
    </row>
    <row r="78" spans="1:13" ht="15">
      <c r="A78" t="s">
        <v>519</v>
      </c>
      <c r="B78" t="str">
        <f>"7833"</f>
        <v>7833</v>
      </c>
      <c r="C78" t="str">
        <f>"1866"</f>
        <v>1866</v>
      </c>
      <c r="D78" t="str">
        <f>"Adalminas pärla"</f>
        <v>Adalminas pärla</v>
      </c>
      <c r="E78" t="str">
        <f t="shared" si="5"/>
        <v>viro</v>
      </c>
      <c r="F78" t="str">
        <f>"muinasjutud"</f>
        <v>muinasjutud</v>
      </c>
      <c r="G78" t="str">
        <f>" lapsed ja noored"</f>
        <v xml:space="preserve"> lapsed ja noored</v>
      </c>
      <c r="H78" t="str">
        <f t="shared" si="4"/>
        <v>1924</v>
      </c>
      <c r="I78" t="str">
        <f>"Adalmina helm"</f>
        <v>Adalmina helm</v>
      </c>
      <c r="J78" t="str">
        <f>"Nurmik, M."</f>
        <v>Nurmik, M.</v>
      </c>
      <c r="K78" t="str">
        <f>"Pääsuke, Tallinn"</f>
        <v>Pääsuke, Tallinn</v>
      </c>
      <c r="L78" t="str">
        <f>""</f>
        <v/>
      </c>
      <c r="M78" t="str">
        <f>""</f>
        <v/>
      </c>
    </row>
    <row r="79" spans="1:13" ht="15">
      <c r="A79" t="s">
        <v>519</v>
      </c>
      <c r="B79" t="str">
        <f>"7835"</f>
        <v>7835</v>
      </c>
      <c r="C79" t="str">
        <f>"1853"</f>
        <v>1853</v>
      </c>
      <c r="D79" t="str">
        <f>"Fältskärns berättelser. Första cykeln, Svärdet och plogen ; Eld och vatten"</f>
        <v>Fältskärns berättelser. Första cykeln, Svärdet och plogen ; Eld och vatten</v>
      </c>
      <c r="E79" t="str">
        <f t="shared" si="5"/>
        <v>viro</v>
      </c>
      <c r="F79" t="str">
        <f>"romaanid; proosa"</f>
        <v>romaanid; proosa</v>
      </c>
      <c r="G79" t="str">
        <f>"  täiskasvanud"</f>
        <v xml:space="preserve">  täiskasvanud</v>
      </c>
      <c r="H79" t="str">
        <f t="shared" si="4"/>
        <v>1924</v>
      </c>
      <c r="I79" t="str">
        <f>"Velskeri jutustused. Esimene jagu, lugu 2 ja 3, Mõõk ja ader ; Tuli ja vesi"</f>
        <v>Velskeri jutustused. Esimene jagu, lugu 2 ja 3, Mõõk ja ader ; Tuli ja vesi</v>
      </c>
      <c r="J79" t="str">
        <f>"Holberg, Selma"</f>
        <v>Holberg, Selma</v>
      </c>
      <c r="K79" t="str">
        <f>"Eesti Kirjanduse Selts, Tartu"</f>
        <v>Eesti Kirjanduse Selts, Tartu</v>
      </c>
      <c r="L79" t="str">
        <f>""</f>
        <v/>
      </c>
      <c r="M79" t="str">
        <f>""</f>
        <v/>
      </c>
    </row>
    <row r="80" spans="1:13" ht="15">
      <c r="A80" t="s">
        <v>9</v>
      </c>
      <c r="B80" t="str">
        <f>"8089"</f>
        <v>8089</v>
      </c>
      <c r="C80" t="str">
        <f>"1911"</f>
        <v>1911</v>
      </c>
      <c r="D80" t="str">
        <f>"Juha"</f>
        <v>Juha</v>
      </c>
      <c r="E80" t="str">
        <f t="shared" si="5"/>
        <v>viro</v>
      </c>
      <c r="F80" t="str">
        <f>"romaanid; proosa"</f>
        <v>romaanid; proosa</v>
      </c>
      <c r="G80" t="str">
        <f>"  täiskasvanud"</f>
        <v xml:space="preserve">  täiskasvanud</v>
      </c>
      <c r="H80" t="str">
        <f>"1925"</f>
        <v>1925</v>
      </c>
      <c r="I80" t="str">
        <f>"Juha"</f>
        <v>Juha</v>
      </c>
      <c r="J80" t="str">
        <f>"Vanik, Konstantin"</f>
        <v>Vanik, Konstantin</v>
      </c>
      <c r="K80" t="str">
        <f>"Noor-Eesti Kirjastus, Tartu"</f>
        <v>Noor-Eesti Kirjastus, Tartu</v>
      </c>
      <c r="L80" t="str">
        <f>""</f>
        <v/>
      </c>
      <c r="M80" t="str">
        <f>""</f>
        <v/>
      </c>
    </row>
    <row r="81" spans="1:13" ht="15">
      <c r="A81" t="s">
        <v>9</v>
      </c>
      <c r="B81" t="str">
        <f>"15501"</f>
        <v>15501</v>
      </c>
      <c r="C81" t="str">
        <f>"1885"</f>
        <v>1885</v>
      </c>
      <c r="D81" t="str">
        <f>"Papin tytär"</f>
        <v>Papin tytär</v>
      </c>
      <c r="E81" t="str">
        <f t="shared" si="5"/>
        <v>viro</v>
      </c>
      <c r="F81" t="str">
        <f>"romaanid; proosa"</f>
        <v>romaanid; proosa</v>
      </c>
      <c r="G81" t="str">
        <f>"  täiskasvanud"</f>
        <v xml:space="preserve">  täiskasvanud</v>
      </c>
      <c r="H81" t="str">
        <f>"1925"</f>
        <v>1925</v>
      </c>
      <c r="I81" t="str">
        <f>"Õpetaja tütar"</f>
        <v>Õpetaja tütar</v>
      </c>
      <c r="J81" t="str">
        <f>"K. W., "</f>
        <v xml:space="preserve">K. W., </v>
      </c>
      <c r="K81" t="str">
        <f>"Noor-Eesti Kirjastus, Tartu"</f>
        <v>Noor-Eesti Kirjastus, Tartu</v>
      </c>
      <c r="L81" t="str">
        <f>""</f>
        <v/>
      </c>
      <c r="M81" t="str">
        <f>""</f>
        <v/>
      </c>
    </row>
    <row r="82" spans="1:13" ht="15">
      <c r="A82" t="s">
        <v>221</v>
      </c>
      <c r="B82" t="str">
        <f>"6673"</f>
        <v>6673</v>
      </c>
      <c r="C82" t="str">
        <f>"1885"</f>
        <v>1885</v>
      </c>
      <c r="D82" t="str">
        <f>"Ihmekös tuo!"</f>
        <v>Ihmekös tuo!</v>
      </c>
      <c r="E82" t="str">
        <f t="shared" si="5"/>
        <v>viro</v>
      </c>
      <c r="F82" t="str">
        <f>"näidendid; draama"</f>
        <v>näidendid; draama</v>
      </c>
      <c r="G82" t="str">
        <f>"  täiskasvanud"</f>
        <v xml:space="preserve">  täiskasvanud</v>
      </c>
      <c r="H82" t="str">
        <f>"1925"</f>
        <v>1925</v>
      </c>
      <c r="I82" t="str">
        <f>"Mis ime see on!"</f>
        <v>Mis ime see on!</v>
      </c>
      <c r="J82" t="str">
        <f>"Tilk, I."</f>
        <v>Tilk, I.</v>
      </c>
      <c r="K82" t="str">
        <f>"Hermann, Tartu"</f>
        <v>Hermann, Tartu</v>
      </c>
      <c r="L82" t="str">
        <f>"3. p."</f>
        <v>3. p.</v>
      </c>
      <c r="M82" t="str">
        <f>""</f>
        <v/>
      </c>
    </row>
    <row r="83" spans="1:13" ht="15">
      <c r="A83" t="s">
        <v>292</v>
      </c>
      <c r="B83" t="str">
        <f>"10544"</f>
        <v>10544</v>
      </c>
      <c r="C83" t="str">
        <f>"1849"</f>
        <v>1849</v>
      </c>
      <c r="D83" t="str">
        <f>"Kalevala"</f>
        <v>Kalevala</v>
      </c>
      <c r="E83" t="str">
        <f t="shared" si="5"/>
        <v>viro</v>
      </c>
      <c r="F83" t="str">
        <f>"luule, rahvaluule"</f>
        <v>luule, rahvaluule</v>
      </c>
      <c r="G83" t="str">
        <f>"  täiskasvanud"</f>
        <v xml:space="preserve">  täiskasvanud</v>
      </c>
      <c r="H83" t="str">
        <f>"1925"</f>
        <v>1925</v>
      </c>
      <c r="I83" t="str">
        <f>"Kalewala. 1. jagu"</f>
        <v>Kalewala. 1. jagu</v>
      </c>
      <c r="J83" t="str">
        <f>"Eisen, Matthias Johann"</f>
        <v>Eisen, Matthias Johann</v>
      </c>
      <c r="K83" t="str">
        <f>"Postimees, Tartu"</f>
        <v>Postimees, Tartu</v>
      </c>
      <c r="L83" t="str">
        <f>"3. p."</f>
        <v>3. p.</v>
      </c>
      <c r="M83" t="str">
        <f>""</f>
        <v/>
      </c>
    </row>
    <row r="84" spans="1:13" ht="15">
      <c r="A84" t="s">
        <v>487</v>
      </c>
      <c r="B84" t="str">
        <f>"6755"</f>
        <v>6755</v>
      </c>
      <c r="C84" t="str">
        <f>"1923"</f>
        <v>1923</v>
      </c>
      <c r="D84" t="str">
        <f>"Vihaisen Haukan vankina"</f>
        <v>Vihaisen Haukan vankina</v>
      </c>
      <c r="E84" t="str">
        <f t="shared" si="5"/>
        <v>viro</v>
      </c>
      <c r="F84" t="str">
        <f>"näidendid; draama"</f>
        <v>näidendid; draama</v>
      </c>
      <c r="G84" t="str">
        <f>" lapsed ja noored"</f>
        <v xml:space="preserve"> lapsed ja noored</v>
      </c>
      <c r="H84" t="str">
        <f>"1925"</f>
        <v>1925</v>
      </c>
      <c r="I84" t="str">
        <f>"Vihase Hauka vangina"</f>
        <v>Vihase Hauka vangina</v>
      </c>
      <c r="J84" t="str">
        <f>"A. T., "</f>
        <v xml:space="preserve">A. T., </v>
      </c>
      <c r="K84" t="str">
        <f>"Pääsuke, Tallinn"</f>
        <v>Pääsuke, Tallinn</v>
      </c>
      <c r="L84" t="str">
        <f>""</f>
        <v/>
      </c>
      <c r="M84" t="str">
        <f>""</f>
        <v/>
      </c>
    </row>
    <row r="85" spans="2:13" ht="15">
      <c r="B85" t="str">
        <f>"6747"</f>
        <v>6747</v>
      </c>
      <c r="C85" t="str">
        <f>"1923"</f>
        <v>1923</v>
      </c>
      <c r="D85" t="str">
        <f>"Kauppasopimus : yksinäytöksinen kansanhuvinäytelmä"</f>
        <v>Kauppasopimus : yksinäytöksinen kansanhuvinäytelmä</v>
      </c>
      <c r="E85" t="str">
        <f t="shared" si="5"/>
        <v>viro</v>
      </c>
      <c r="F85" t="str">
        <f>"näidendid; draama"</f>
        <v>näidendid; draama</v>
      </c>
      <c r="G85" t="str">
        <f>"  täiskasvanud"</f>
        <v xml:space="preserve">  täiskasvanud</v>
      </c>
      <c r="H85" t="str">
        <f aca="true" t="shared" si="6" ref="H85:H97">"1926"</f>
        <v>1926</v>
      </c>
      <c r="I85" t="str">
        <f>"Kaubaleping"</f>
        <v>Kaubaleping</v>
      </c>
      <c r="J85" t="str">
        <f>"Elango, J., Suomela, Klaus Uuno"</f>
        <v>Elango, J., Suomela, Klaus Uuno</v>
      </c>
      <c r="K85" t="str">
        <f>"Sőnavara, Tartu"</f>
        <v>Sőnavara, Tartu</v>
      </c>
      <c r="L85" t="str">
        <f>""</f>
        <v/>
      </c>
      <c r="M85" t="str">
        <f>""</f>
        <v/>
      </c>
    </row>
    <row r="86" spans="1:13" ht="15">
      <c r="A86" t="s">
        <v>9</v>
      </c>
      <c r="B86" t="str">
        <f>"6584"</f>
        <v>6584</v>
      </c>
      <c r="C86" t="str">
        <f>""</f>
        <v/>
      </c>
      <c r="D86" t="str">
        <f>""</f>
        <v/>
      </c>
      <c r="E86" t="str">
        <f t="shared" si="5"/>
        <v>viro</v>
      </c>
      <c r="F86" t="str">
        <f>"lühiproosa, proosa"</f>
        <v>lühiproosa, proosa</v>
      </c>
      <c r="G86" t="str">
        <f>"  täiskasvanud"</f>
        <v xml:space="preserve">  täiskasvanud</v>
      </c>
      <c r="H86" t="str">
        <f t="shared" si="6"/>
        <v>1926</v>
      </c>
      <c r="I86" t="str">
        <f>"Valitud jutud ja laastud"</f>
        <v>Valitud jutud ja laastud</v>
      </c>
      <c r="J86" t="str">
        <f>"Vanik, Konstantin"</f>
        <v>Vanik, Konstantin</v>
      </c>
      <c r="K86" t="str">
        <f>"Noor-Eesti Kirjastus, Tartu"</f>
        <v>Noor-Eesti Kirjastus, Tartu</v>
      </c>
      <c r="L86" t="str">
        <f>""</f>
        <v/>
      </c>
      <c r="M86" t="str">
        <f>""</f>
        <v/>
      </c>
    </row>
    <row r="87" spans="1:13" ht="15">
      <c r="A87" t="s">
        <v>9</v>
      </c>
      <c r="B87" t="str">
        <f>"10173"</f>
        <v>10173</v>
      </c>
      <c r="C87" t="str">
        <f>"1897"</f>
        <v>1897</v>
      </c>
      <c r="D87" t="str">
        <f>"Panu : kuvauksia kristinuskon ja pakanuuden lopputaistelusta Suomessa"</f>
        <v>Panu : kuvauksia kristinuskon ja pakanuuden lopputaistelusta Suomessa</v>
      </c>
      <c r="E87" t="str">
        <f t="shared" si="5"/>
        <v>viro</v>
      </c>
      <c r="F87" t="str">
        <f>"romaanid; proosa"</f>
        <v>romaanid; proosa</v>
      </c>
      <c r="G87" t="str">
        <f>"  täiskasvanud"</f>
        <v xml:space="preserve">  täiskasvanud</v>
      </c>
      <c r="H87" t="str">
        <f t="shared" si="6"/>
        <v>1926</v>
      </c>
      <c r="I87" t="str">
        <f>"Panu"</f>
        <v>Panu</v>
      </c>
      <c r="J87" t="str">
        <f>"Anni, August"</f>
        <v>Anni, August</v>
      </c>
      <c r="K87" t="str">
        <f>"Eesti Kirjanduse Seltsi Koolikirjanduse toimkonna kirjastus, Tallinn"</f>
        <v>Eesti Kirjanduse Seltsi Koolikirjanduse toimkonna kirjastus, Tallinn</v>
      </c>
      <c r="L87" t="str">
        <f>""</f>
        <v/>
      </c>
      <c r="M87" t="str">
        <f>""</f>
        <v/>
      </c>
    </row>
    <row r="88" spans="1:13" ht="15">
      <c r="A88" t="s">
        <v>16</v>
      </c>
      <c r="B88" t="str">
        <f>"6589"</f>
        <v>6589</v>
      </c>
      <c r="C88" t="str">
        <f>"1925"</f>
        <v>1925</v>
      </c>
      <c r="D88" t="str">
        <f>"Ohi houkutusten : näytelmällinen kuvaus nykyisiltä päiviltä"</f>
        <v>Ohi houkutusten : näytelmällinen kuvaus nykyisiltä päiviltä</v>
      </c>
      <c r="E88" t="str">
        <f t="shared" si="5"/>
        <v>viro</v>
      </c>
      <c r="F88" t="str">
        <f>"näidendid; draama"</f>
        <v>näidendid; draama</v>
      </c>
      <c r="G88" t="str">
        <f>"  täiskasvanud"</f>
        <v xml:space="preserve">  täiskasvanud</v>
      </c>
      <c r="H88" t="str">
        <f t="shared" si="6"/>
        <v>1926</v>
      </c>
      <c r="I88" t="str">
        <f>"Mööda kiusatustest"</f>
        <v>Mööda kiusatustest</v>
      </c>
      <c r="J88" t="str">
        <f>"Elango, J."</f>
        <v>Elango, J.</v>
      </c>
      <c r="K88" t="str">
        <f>"Sőnavara, Tartu"</f>
        <v>Sőnavara, Tartu</v>
      </c>
      <c r="L88" t="str">
        <f>""</f>
        <v/>
      </c>
      <c r="M88" t="str">
        <f>""</f>
        <v/>
      </c>
    </row>
    <row r="89" spans="1:13" ht="15">
      <c r="A89" t="s">
        <v>16</v>
      </c>
      <c r="B89" t="str">
        <f>"6590"</f>
        <v>6590</v>
      </c>
      <c r="C89" t="str">
        <f>"1924"</f>
        <v>1924</v>
      </c>
      <c r="D89" t="str">
        <f>"Sininen kukka : yksinäytöksinen näytelmä"</f>
        <v>Sininen kukka : yksinäytöksinen näytelmä</v>
      </c>
      <c r="E89" t="str">
        <f t="shared" si="5"/>
        <v>viro</v>
      </c>
      <c r="F89" t="str">
        <f>"näidendid; draama"</f>
        <v>näidendid; draama</v>
      </c>
      <c r="G89" t="str">
        <f>"  täiskasvanud"</f>
        <v xml:space="preserve">  täiskasvanud</v>
      </c>
      <c r="H89" t="str">
        <f t="shared" si="6"/>
        <v>1926</v>
      </c>
      <c r="I89" t="str">
        <f>"Sinine lill"</f>
        <v>Sinine lill</v>
      </c>
      <c r="J89" t="str">
        <f>"Elango, J."</f>
        <v>Elango, J.</v>
      </c>
      <c r="K89" t="str">
        <f>"Sőnavara, Tartu"</f>
        <v>Sőnavara, Tartu</v>
      </c>
      <c r="L89" t="str">
        <f>""</f>
        <v/>
      </c>
      <c r="M89" t="str">
        <f>""</f>
        <v/>
      </c>
    </row>
    <row r="90" spans="1:13" ht="15">
      <c r="A90" t="s">
        <v>103</v>
      </c>
      <c r="B90" t="str">
        <f>"6617"</f>
        <v>6617</v>
      </c>
      <c r="C90" t="str">
        <f>"1925"</f>
        <v>1925</v>
      </c>
      <c r="D90" t="str">
        <f>"Jäämeren sankari"</f>
        <v>Jäämeren sankari</v>
      </c>
      <c r="E90" t="str">
        <f t="shared" si="5"/>
        <v>viro</v>
      </c>
      <c r="F90" t="str">
        <f>"romaanid; proosa"</f>
        <v>romaanid; proosa</v>
      </c>
      <c r="G90" t="str">
        <f>" lapsed ja noored"</f>
        <v xml:space="preserve"> lapsed ja noored</v>
      </c>
      <c r="H90" t="str">
        <f t="shared" si="6"/>
        <v>1926</v>
      </c>
      <c r="I90" t="str">
        <f>"Jäämere kangelane"</f>
        <v>Jäämere kangelane</v>
      </c>
      <c r="J90" t="str">
        <f>"Nurmik, M."</f>
        <v>Nurmik, M.</v>
      </c>
      <c r="K90" t="str">
        <f>"Eesti Õpetajate Liit, Tallinn"</f>
        <v>Eesti Õpetajate Liit, Tallinn</v>
      </c>
      <c r="L90" t="str">
        <f>""</f>
        <v/>
      </c>
      <c r="M90" t="str">
        <f>""</f>
        <v/>
      </c>
    </row>
    <row r="91" spans="1:13" ht="15">
      <c r="A91" t="s">
        <v>134</v>
      </c>
      <c r="B91" t="str">
        <f>"6629"</f>
        <v>6629</v>
      </c>
      <c r="C91" t="str">
        <f>"1893"</f>
        <v>1893</v>
      </c>
      <c r="D91" t="str">
        <f>"Isänmaa"</f>
        <v>Isänmaa</v>
      </c>
      <c r="E91" t="str">
        <f t="shared" si="5"/>
        <v>viro</v>
      </c>
      <c r="F91" t="str">
        <f>"romaanid; proosa"</f>
        <v>romaanid; proosa</v>
      </c>
      <c r="G91" t="str">
        <f>"  täiskasvanud"</f>
        <v xml:space="preserve">  täiskasvanud</v>
      </c>
      <c r="H91" t="str">
        <f t="shared" si="6"/>
        <v>1926</v>
      </c>
      <c r="I91" t="str">
        <f>"Isamaa"</f>
        <v>Isamaa</v>
      </c>
      <c r="J91" t="str">
        <f>"Suits, Gustav"</f>
        <v>Suits, Gustav</v>
      </c>
      <c r="K91" t="str">
        <f>"Eesti Kirjanduse Selts, Tartu"</f>
        <v>Eesti Kirjanduse Selts, Tartu</v>
      </c>
      <c r="L91" t="str">
        <f>""</f>
        <v/>
      </c>
      <c r="M91" t="str">
        <f>""</f>
        <v/>
      </c>
    </row>
    <row r="92" spans="1:13" ht="15">
      <c r="A92" t="s">
        <v>250</v>
      </c>
      <c r="B92" t="str">
        <f>"280"</f>
        <v>280</v>
      </c>
      <c r="C92" t="str">
        <f>"1920"</f>
        <v>1920</v>
      </c>
      <c r="D92" t="str">
        <f>"Putkinotko : kuvaus laiskasta viinarokarista ja tuhmasta herrasta"</f>
        <v>Putkinotko : kuvaus laiskasta viinarokarista ja tuhmasta herrasta</v>
      </c>
      <c r="E92" t="str">
        <f t="shared" si="5"/>
        <v>viro</v>
      </c>
      <c r="F92" t="str">
        <f>"romaanid; proosa"</f>
        <v>romaanid; proosa</v>
      </c>
      <c r="G92" t="str">
        <f>"  täiskasvanud"</f>
        <v xml:space="preserve">  täiskasvanud</v>
      </c>
      <c r="H92" t="str">
        <f t="shared" si="6"/>
        <v>1926</v>
      </c>
      <c r="I92" t="str">
        <f>"Putkinotko"</f>
        <v>Putkinotko</v>
      </c>
      <c r="J92" t="str">
        <f>"Vanik, Konstantin"</f>
        <v>Vanik, Konstantin</v>
      </c>
      <c r="K92" t="str">
        <f>"Noor-Eesti Kirjastus, Tartu"</f>
        <v>Noor-Eesti Kirjastus, Tartu</v>
      </c>
      <c r="L92" t="str">
        <f>""</f>
        <v/>
      </c>
      <c r="M92" t="str">
        <f>""</f>
        <v/>
      </c>
    </row>
    <row r="93" spans="1:13" ht="15">
      <c r="A93" t="s">
        <v>255</v>
      </c>
      <c r="B93" t="str">
        <f>"6683"</f>
        <v>6683</v>
      </c>
      <c r="C93" t="str">
        <f>"1916"</f>
        <v>1916</v>
      </c>
      <c r="D93" t="str">
        <f>"Musti"</f>
        <v>Musti</v>
      </c>
      <c r="E93" t="str">
        <f t="shared" si="5"/>
        <v>viro</v>
      </c>
      <c r="F93" t="str">
        <f>"lühiproosa, proosa"</f>
        <v>lühiproosa, proosa</v>
      </c>
      <c r="G93" t="str">
        <f>"  täiskasvanud"</f>
        <v xml:space="preserve">  täiskasvanud</v>
      </c>
      <c r="H93" t="str">
        <f t="shared" si="6"/>
        <v>1926</v>
      </c>
      <c r="I93" t="str">
        <f>"Musti"</f>
        <v>Musti</v>
      </c>
      <c r="J93" t="str">
        <f>"Holberg, Selma"</f>
        <v>Holberg, Selma</v>
      </c>
      <c r="K93" t="str">
        <f>"Noor-Eesti Kirjastus, Tartu"</f>
        <v>Noor-Eesti Kirjastus, Tartu</v>
      </c>
      <c r="L93" t="str">
        <f>""</f>
        <v/>
      </c>
      <c r="M93" t="str">
        <f>""</f>
        <v/>
      </c>
    </row>
    <row r="94" spans="1:13" ht="15">
      <c r="A94" t="s">
        <v>273</v>
      </c>
      <c r="B94" t="str">
        <f>"9734"</f>
        <v>9734</v>
      </c>
      <c r="C94" t="str">
        <f>"1905"</f>
        <v>1905</v>
      </c>
      <c r="D94" t="str">
        <f>"Laulu tulipunaisesta kukasta"</f>
        <v>Laulu tulipunaisesta kukasta</v>
      </c>
      <c r="E94" t="str">
        <f t="shared" si="5"/>
        <v>viro</v>
      </c>
      <c r="F94" t="str">
        <f>"romaanid; proosa"</f>
        <v>romaanid; proosa</v>
      </c>
      <c r="G94" t="str">
        <f>"  täiskasvanud"</f>
        <v xml:space="preserve">  täiskasvanud</v>
      </c>
      <c r="H94" t="str">
        <f t="shared" si="6"/>
        <v>1926</v>
      </c>
      <c r="I94" t="str">
        <f>"Laul tulipunasest lillest"</f>
        <v>Laul tulipunasest lillest</v>
      </c>
      <c r="J94" t="str">
        <f>"Jaakson, L."</f>
        <v>Jaakson, L.</v>
      </c>
      <c r="K94" t="str">
        <f>"Noor-Eesti Kirjastus, Tartu"</f>
        <v>Noor-Eesti Kirjastus, Tartu</v>
      </c>
      <c r="L94" t="str">
        <f>""</f>
        <v/>
      </c>
      <c r="M94" t="str">
        <f>""</f>
        <v/>
      </c>
    </row>
    <row r="95" spans="1:13" ht="15">
      <c r="A95" t="s">
        <v>316</v>
      </c>
      <c r="B95" t="str">
        <f>"6706"</f>
        <v>6706</v>
      </c>
      <c r="C95" t="str">
        <f>"1920"</f>
        <v>1920</v>
      </c>
      <c r="D95" t="str">
        <f>"Rakkautta ja osuustoimintaa : yksinäytöksinen näytelmä"</f>
        <v>Rakkautta ja osuustoimintaa : yksinäytöksinen näytelmä</v>
      </c>
      <c r="E95" t="str">
        <f t="shared" si="5"/>
        <v>viro</v>
      </c>
      <c r="F95" t="str">
        <f>"näidendid; draama"</f>
        <v>näidendid; draama</v>
      </c>
      <c r="G95" t="str">
        <f>"  täiskasvanud"</f>
        <v xml:space="preserve">  täiskasvanud</v>
      </c>
      <c r="H95" t="str">
        <f t="shared" si="6"/>
        <v>1926</v>
      </c>
      <c r="I95" t="str">
        <f>"Armastus ja ühistegevus"</f>
        <v>Armastus ja ühistegevus</v>
      </c>
      <c r="J95" t="str">
        <f>"Tammann, A."</f>
        <v>Tammann, A.</v>
      </c>
      <c r="K95" t="str">
        <f>"Eesti Ühistegeline Liit, Tallinn"</f>
        <v>Eesti Ühistegeline Liit, Tallinn</v>
      </c>
      <c r="L95" t="str">
        <f>""</f>
        <v/>
      </c>
      <c r="M95" t="str">
        <f>""</f>
        <v/>
      </c>
    </row>
    <row r="96" spans="1:13" ht="15">
      <c r="A96" t="s">
        <v>406</v>
      </c>
      <c r="B96" t="str">
        <f>"6725"</f>
        <v>6725</v>
      </c>
      <c r="C96" t="str">
        <f>"1920"</f>
        <v>1920</v>
      </c>
      <c r="D96" t="str">
        <f>"Mäntylän takamaa : yksinäytöksinen näytelmä"</f>
        <v>Mäntylän takamaa : yksinäytöksinen näytelmä</v>
      </c>
      <c r="E96" t="str">
        <f t="shared" si="5"/>
        <v>viro</v>
      </c>
      <c r="F96" t="str">
        <f>"näidendid; draama"</f>
        <v>näidendid; draama</v>
      </c>
      <c r="G96" t="str">
        <f>"  täiskasvanud"</f>
        <v xml:space="preserve">  täiskasvanud</v>
      </c>
      <c r="H96" t="str">
        <f t="shared" si="6"/>
        <v>1926</v>
      </c>
      <c r="I96" t="str">
        <f>"Meieri Tütar"</f>
        <v>Meieri Tütar</v>
      </c>
      <c r="J96" t="str">
        <f>"Tammann, A."</f>
        <v>Tammann, A.</v>
      </c>
      <c r="K96" t="str">
        <f>"Eesti Ühistegeline Liit, Tallinn"</f>
        <v>Eesti Ühistegeline Liit, Tallinn</v>
      </c>
      <c r="L96" t="str">
        <f>""</f>
        <v/>
      </c>
      <c r="M96" t="str">
        <f>""</f>
        <v/>
      </c>
    </row>
    <row r="97" spans="1:13" ht="15">
      <c r="A97" t="s">
        <v>519</v>
      </c>
      <c r="B97" t="str">
        <f>"16385"</f>
        <v>16385</v>
      </c>
      <c r="C97" t="str">
        <f>""</f>
        <v/>
      </c>
      <c r="D97" t="str">
        <f>"Tidernas spegel"</f>
        <v>Tidernas spegel</v>
      </c>
      <c r="E97" t="str">
        <f t="shared" si="5"/>
        <v>viro</v>
      </c>
      <c r="F97" t="str">
        <f>"näidendid; draama"</f>
        <v>näidendid; draama</v>
      </c>
      <c r="G97" t="str">
        <f>" lapsed ja noored"</f>
        <v xml:space="preserve"> lapsed ja noored</v>
      </c>
      <c r="H97" t="str">
        <f t="shared" si="6"/>
        <v>1926</v>
      </c>
      <c r="I97" t="str">
        <f>"Aegade peegel"</f>
        <v>Aegade peegel</v>
      </c>
      <c r="J97" t="str">
        <f>""</f>
        <v/>
      </c>
      <c r="K97" t="str">
        <f>"Pääsuke, Tallinn"</f>
        <v>Pääsuke, Tallinn</v>
      </c>
      <c r="L97" t="str">
        <f>""</f>
        <v/>
      </c>
      <c r="M97" t="str">
        <f>""</f>
        <v/>
      </c>
    </row>
    <row r="98" spans="1:13" ht="15">
      <c r="A98" t="s">
        <v>9</v>
      </c>
      <c r="B98" t="str">
        <f>"10303"</f>
        <v>10303</v>
      </c>
      <c r="C98" t="str">
        <f>""</f>
        <v/>
      </c>
      <c r="D98" t="str">
        <f>"Lastuja"</f>
        <v>Lastuja</v>
      </c>
      <c r="E98" t="str">
        <f t="shared" si="5"/>
        <v>viro</v>
      </c>
      <c r="F98" t="str">
        <f>"lühiproosa, proosa"</f>
        <v>lühiproosa, proosa</v>
      </c>
      <c r="G98" t="str">
        <f>"  täiskasvanud"</f>
        <v xml:space="preserve">  täiskasvanud</v>
      </c>
      <c r="H98" t="str">
        <f aca="true" t="shared" si="7" ref="H98:H107">"1927"</f>
        <v>1927</v>
      </c>
      <c r="I98" t="str">
        <f>"Laastud"</f>
        <v>Laastud</v>
      </c>
      <c r="J98" t="str">
        <f>"Aavik, Johannes"</f>
        <v>Aavik, Johannes</v>
      </c>
      <c r="K98" t="str">
        <f>"Istandik, Tartu"</f>
        <v>Istandik, Tartu</v>
      </c>
      <c r="L98" t="str">
        <f>""</f>
        <v/>
      </c>
      <c r="M98" t="str">
        <f>""</f>
        <v/>
      </c>
    </row>
    <row r="99" spans="1:13" ht="15">
      <c r="A99" t="s">
        <v>9</v>
      </c>
      <c r="B99" t="str">
        <f>"6577"</f>
        <v>6577</v>
      </c>
      <c r="C99" t="str">
        <f>"1889"</f>
        <v>1889</v>
      </c>
      <c r="D99" t="str">
        <f>"Muuan markkinamies"</f>
        <v>Muuan markkinamies</v>
      </c>
      <c r="E99" t="str">
        <f t="shared" si="5"/>
        <v>viro</v>
      </c>
      <c r="F99" t="str">
        <f>"romaanid; proosa"</f>
        <v>romaanid; proosa</v>
      </c>
      <c r="G99" t="str">
        <f>"  täiskasvanud"</f>
        <v xml:space="preserve">  täiskasvanud</v>
      </c>
      <c r="H99" t="str">
        <f t="shared" si="7"/>
        <v>1927</v>
      </c>
      <c r="I99" t="str">
        <f>"Keegi laadaline"</f>
        <v>Keegi laadaline</v>
      </c>
      <c r="J99" t="str">
        <f>"Vanik, Konstantin"</f>
        <v>Vanik, Konstantin</v>
      </c>
      <c r="K99" t="str">
        <f>"Noor-Eesti Kirjastus, Tartu"</f>
        <v>Noor-Eesti Kirjastus, Tartu</v>
      </c>
      <c r="L99" t="str">
        <f>""</f>
        <v/>
      </c>
      <c r="M99" t="str">
        <f>""</f>
        <v/>
      </c>
    </row>
    <row r="100" spans="1:13" ht="15">
      <c r="A100" t="s">
        <v>9</v>
      </c>
      <c r="B100" t="str">
        <f>"6582"</f>
        <v>6582</v>
      </c>
      <c r="C100" t="str">
        <f>"1914"</f>
        <v>1914</v>
      </c>
      <c r="D100" t="str">
        <f>"Omatunto : saaristokertomus"</f>
        <v>Omatunto : saaristokertomus</v>
      </c>
      <c r="E100" t="str">
        <f t="shared" si="5"/>
        <v>viro</v>
      </c>
      <c r="F100" t="str">
        <f>"romaanid; proosa"</f>
        <v>romaanid; proosa</v>
      </c>
      <c r="G100" t="str">
        <f>"  täiskasvanud"</f>
        <v xml:space="preserve">  täiskasvanud</v>
      </c>
      <c r="H100" t="str">
        <f t="shared" si="7"/>
        <v>1927</v>
      </c>
      <c r="I100" t="str">
        <f>"Südametunnistus"</f>
        <v>Südametunnistus</v>
      </c>
      <c r="J100" t="str">
        <f>"Vanik, Konstantin"</f>
        <v>Vanik, Konstantin</v>
      </c>
      <c r="K100" t="str">
        <f>"Noor-Eesti Kirjastus, Tartu"</f>
        <v>Noor-Eesti Kirjastus, Tartu</v>
      </c>
      <c r="L100" t="str">
        <f>""</f>
        <v/>
      </c>
      <c r="M100" t="str">
        <f>""</f>
        <v/>
      </c>
    </row>
    <row r="101" spans="1:13" ht="15">
      <c r="A101" t="s">
        <v>9</v>
      </c>
      <c r="B101" t="str">
        <f>"6587"</f>
        <v>6587</v>
      </c>
      <c r="C101" t="str">
        <f>"1885"</f>
        <v>1885</v>
      </c>
      <c r="D101" t="str">
        <f>"Papin tytär"</f>
        <v>Papin tytär</v>
      </c>
      <c r="E101" t="str">
        <f t="shared" si="5"/>
        <v>viro</v>
      </c>
      <c r="F101" t="str">
        <f>"romaanid; proosa"</f>
        <v>romaanid; proosa</v>
      </c>
      <c r="G101" t="str">
        <f>"  täiskasvanud"</f>
        <v xml:space="preserve">  täiskasvanud</v>
      </c>
      <c r="H101" t="str">
        <f t="shared" si="7"/>
        <v>1927</v>
      </c>
      <c r="I101" t="str">
        <f>"Õpetaja tütar"</f>
        <v>Õpetaja tütar</v>
      </c>
      <c r="J101" t="str">
        <f>"Vanik, Konstantin"</f>
        <v>Vanik, Konstantin</v>
      </c>
      <c r="K101" t="str">
        <f>"Noor-Eesti Kirjastus, Tartu"</f>
        <v>Noor-Eesti Kirjastus, Tartu</v>
      </c>
      <c r="L101" t="str">
        <f>"2. p."</f>
        <v>2. p.</v>
      </c>
      <c r="M101" t="str">
        <f>""</f>
        <v/>
      </c>
    </row>
    <row r="102" spans="1:13" ht="15">
      <c r="A102" t="s">
        <v>72</v>
      </c>
      <c r="B102" t="str">
        <f>"6609"</f>
        <v>6609</v>
      </c>
      <c r="C102" t="str">
        <f>"1926"</f>
        <v>1926</v>
      </c>
      <c r="D102" t="str">
        <f>"Ankarat tähdet"</f>
        <v>Ankarat tähdet</v>
      </c>
      <c r="E102" t="str">
        <f t="shared" si="5"/>
        <v>viro</v>
      </c>
      <c r="F102" t="str">
        <f>"romaanid; proosa"</f>
        <v>romaanid; proosa</v>
      </c>
      <c r="G102" t="str">
        <f>"  täiskasvanud"</f>
        <v xml:space="preserve">  täiskasvanud</v>
      </c>
      <c r="H102" t="str">
        <f t="shared" si="7"/>
        <v>1927</v>
      </c>
      <c r="I102" t="str">
        <f>"Karmid tähed"</f>
        <v>Karmid tähed</v>
      </c>
      <c r="J102" t="str">
        <f>"Jürgenstein, Hella"</f>
        <v>Jürgenstein, Hella</v>
      </c>
      <c r="K102" t="str">
        <f>"Noor-Eesti Kirjastus, Tartu"</f>
        <v>Noor-Eesti Kirjastus, Tartu</v>
      </c>
      <c r="L102" t="str">
        <f>""</f>
        <v/>
      </c>
      <c r="M102" t="str">
        <f>""</f>
        <v/>
      </c>
    </row>
    <row r="103" spans="1:13" ht="15">
      <c r="A103" t="s">
        <v>204</v>
      </c>
      <c r="B103" t="str">
        <f>"6669"</f>
        <v>6669</v>
      </c>
      <c r="C103" t="str">
        <f>"1921"</f>
        <v>1921</v>
      </c>
      <c r="D103" t="str">
        <f>"Metsä ja kartano : eläinsatuja"</f>
        <v>Metsä ja kartano : eläinsatuja</v>
      </c>
      <c r="E103" t="str">
        <f t="shared" si="5"/>
        <v>viro</v>
      </c>
      <c r="F103" t="str">
        <f>"muinasjutud; proosa"</f>
        <v>muinasjutud; proosa</v>
      </c>
      <c r="G103" t="str">
        <f>" lapsed ja noored"</f>
        <v xml:space="preserve"> lapsed ja noored</v>
      </c>
      <c r="H103" t="str">
        <f t="shared" si="7"/>
        <v>1927</v>
      </c>
      <c r="I103" t="str">
        <f>"Mesikäpa jaaniöö"</f>
        <v>Mesikäpa jaaniöö</v>
      </c>
      <c r="J103" t="str">
        <f>"Aaslava, Elli"</f>
        <v>Aaslava, Elli</v>
      </c>
      <c r="K103" t="str">
        <f>"Eesti Kirjanduse Seltsi Koolikirjanduse toimkonna kirjastus, Tallinn"</f>
        <v>Eesti Kirjanduse Seltsi Koolikirjanduse toimkonna kirjastus, Tallinn</v>
      </c>
      <c r="L103" t="str">
        <f>""</f>
        <v/>
      </c>
      <c r="M103" t="str">
        <f>""</f>
        <v/>
      </c>
    </row>
    <row r="104" spans="1:13" ht="15">
      <c r="A104" t="s">
        <v>250</v>
      </c>
      <c r="B104" t="str">
        <f>"6678"</f>
        <v>6678</v>
      </c>
      <c r="C104" t="str">
        <f>"1922"</f>
        <v>1922</v>
      </c>
      <c r="D104" t="str">
        <f>"Rakastunut rampa eli Sakris Kukkelman, köyhä polseviikki"</f>
        <v>Rakastunut rampa eli Sakris Kukkelman, köyhä polseviikki</v>
      </c>
      <c r="E104" t="str">
        <f t="shared" si="5"/>
        <v>viro</v>
      </c>
      <c r="F104" t="str">
        <f>"romaanid; proosa"</f>
        <v>romaanid; proosa</v>
      </c>
      <c r="G104" t="str">
        <f>"  täiskasvanud"</f>
        <v xml:space="preserve">  täiskasvanud</v>
      </c>
      <c r="H104" t="str">
        <f t="shared" si="7"/>
        <v>1927</v>
      </c>
      <c r="I104" t="str">
        <f>"Armunud lombak ehk Sakris Kukkelman, kehv polssevik"</f>
        <v>Armunud lombak ehk Sakris Kukkelman, kehv polssevik</v>
      </c>
      <c r="J104" t="str">
        <f>"Vanik, Konstantin"</f>
        <v>Vanik, Konstantin</v>
      </c>
      <c r="K104" t="str">
        <f>"Noor-Eesti Kirjastus, Tartu"</f>
        <v>Noor-Eesti Kirjastus, Tartu</v>
      </c>
      <c r="L104" t="str">
        <f>""</f>
        <v/>
      </c>
      <c r="M104" t="str">
        <f>""</f>
        <v/>
      </c>
    </row>
    <row r="105" spans="1:13" ht="15">
      <c r="A105" t="s">
        <v>255</v>
      </c>
      <c r="B105" t="str">
        <f>"6688"</f>
        <v>6688</v>
      </c>
      <c r="C105" t="str">
        <f>"1904"</f>
        <v>1904</v>
      </c>
      <c r="D105" t="str">
        <f>"Simo Hurtta : runoja Isonvihan ajoilta"</f>
        <v>Simo Hurtta : runoja Isonvihan ajoilta</v>
      </c>
      <c r="E105" t="str">
        <f t="shared" si="5"/>
        <v>viro</v>
      </c>
      <c r="F105" t="str">
        <f>"luule, lüürika"</f>
        <v>luule, lüürika</v>
      </c>
      <c r="G105" t="str">
        <f>"  täiskasvanud"</f>
        <v xml:space="preserve">  täiskasvanud</v>
      </c>
      <c r="H105" t="str">
        <f t="shared" si="7"/>
        <v>1927</v>
      </c>
      <c r="I105" t="str">
        <f>"Simo Hurt"</f>
        <v>Simo Hurt</v>
      </c>
      <c r="J105" t="str">
        <f>"Annist, August"</f>
        <v>Annist, August</v>
      </c>
      <c r="K105" t="str">
        <f>"Eesti Kirjanduse Seltsi Koolikirjanduse toimkonna kirjastus, Tallinn"</f>
        <v>Eesti Kirjanduse Seltsi Koolikirjanduse toimkonna kirjastus, Tallinn</v>
      </c>
      <c r="L105" t="str">
        <f>""</f>
        <v/>
      </c>
      <c r="M105" t="str">
        <f>""</f>
        <v/>
      </c>
    </row>
    <row r="106" spans="1:13" ht="15">
      <c r="A106" t="s">
        <v>360</v>
      </c>
      <c r="B106" t="str">
        <f>"6713"</f>
        <v>6713</v>
      </c>
      <c r="C106" t="str">
        <f>"1894"</f>
        <v>1894</v>
      </c>
      <c r="D106" t="str">
        <f>"Elsa : kuvauksia elämästä Vaaralla"</f>
        <v>Elsa : kuvauksia elämästä Vaaralla</v>
      </c>
      <c r="E106" t="str">
        <f t="shared" si="5"/>
        <v>viro</v>
      </c>
      <c r="F106" t="str">
        <f>"romaanid; proosa"</f>
        <v>romaanid; proosa</v>
      </c>
      <c r="G106" t="str">
        <f>"  täiskasvanud"</f>
        <v xml:space="preserve">  täiskasvanud</v>
      </c>
      <c r="H106" t="str">
        <f t="shared" si="7"/>
        <v>1927</v>
      </c>
      <c r="I106" t="str">
        <f>"Elsa"</f>
        <v>Elsa</v>
      </c>
      <c r="J106" t="str">
        <f>"Jaakson, L."</f>
        <v>Jaakson, L.</v>
      </c>
      <c r="K106" t="str">
        <f>"Noor-Eesti Kirjastus, Tartu"</f>
        <v>Noor-Eesti Kirjastus, Tartu</v>
      </c>
      <c r="L106" t="str">
        <f>""</f>
        <v/>
      </c>
      <c r="M106" t="str">
        <f>""</f>
        <v/>
      </c>
    </row>
    <row r="107" spans="1:13" ht="15">
      <c r="A107" t="s">
        <v>520</v>
      </c>
      <c r="B107" t="str">
        <f>"6745"</f>
        <v>6745</v>
      </c>
      <c r="C107" t="str">
        <f>"1926"</f>
        <v>1926</v>
      </c>
      <c r="D107" t="str">
        <f>"Auringon nousun maahan : tarina"</f>
        <v>Auringon nousun maahan : tarina</v>
      </c>
      <c r="E107" t="str">
        <f t="shared" si="5"/>
        <v>viro</v>
      </c>
      <c r="F107" t="str">
        <f>"romaanid; proosa"</f>
        <v>romaanid; proosa</v>
      </c>
      <c r="G107" t="str">
        <f>"  täiskasvanud"</f>
        <v xml:space="preserve">  täiskasvanud</v>
      </c>
      <c r="H107" t="str">
        <f t="shared" si="7"/>
        <v>1927</v>
      </c>
      <c r="I107" t="str">
        <f>"Päikesetõusu maale"</f>
        <v>Päikesetõusu maale</v>
      </c>
      <c r="J107" t="str">
        <f>"Oiderman, E."</f>
        <v>Oiderman, E.</v>
      </c>
      <c r="K107" t="str">
        <f>"Noor-Eesti Kirjastus, Tartu"</f>
        <v>Noor-Eesti Kirjastus, Tartu</v>
      </c>
      <c r="L107" t="str">
        <f>""</f>
        <v/>
      </c>
      <c r="M107" t="str">
        <f>""</f>
        <v/>
      </c>
    </row>
    <row r="108" spans="1:13" ht="15">
      <c r="A108" t="s">
        <v>54</v>
      </c>
      <c r="B108" t="str">
        <f>"6602"</f>
        <v>6602</v>
      </c>
      <c r="C108" t="str">
        <f>"1927"</f>
        <v>1927</v>
      </c>
      <c r="D108" t="str">
        <f>"Kolmen Töräpään tarina"</f>
        <v>Kolmen Töräpään tarina</v>
      </c>
      <c r="E108" t="str">
        <f t="shared" si="5"/>
        <v>viro</v>
      </c>
      <c r="F108" t="str">
        <f>"romaanid; proosa"</f>
        <v>romaanid; proosa</v>
      </c>
      <c r="G108" t="str">
        <f>"  täiskasvanud"</f>
        <v xml:space="preserve">  täiskasvanud</v>
      </c>
      <c r="H108" t="str">
        <f aca="true" t="shared" si="8" ref="H108:H119">"1928"</f>
        <v>1928</v>
      </c>
      <c r="I108" t="str">
        <f>"Lugu kolmest põikpääst"</f>
        <v>Lugu kolmest põikpääst</v>
      </c>
      <c r="J108" t="str">
        <f>"Vanik, Konstantin"</f>
        <v>Vanik, Konstantin</v>
      </c>
      <c r="K108" t="str">
        <f>"Tapperi kirjastus, Tartu"</f>
        <v>Tapperi kirjastus, Tartu</v>
      </c>
      <c r="L108" t="str">
        <f>""</f>
        <v/>
      </c>
      <c r="M108" t="str">
        <f>""</f>
        <v/>
      </c>
    </row>
    <row r="109" spans="1:13" ht="15">
      <c r="A109" t="s">
        <v>55</v>
      </c>
      <c r="B109" t="str">
        <f>"6604"</f>
        <v>6604</v>
      </c>
      <c r="C109" t="str">
        <f>"1925"</f>
        <v>1925</v>
      </c>
      <c r="D109" t="str">
        <f>"Nuorten tuomio : yksinäytöksinen draama"</f>
        <v>Nuorten tuomio : yksinäytöksinen draama</v>
      </c>
      <c r="E109" t="str">
        <f t="shared" si="5"/>
        <v>viro</v>
      </c>
      <c r="F109" t="str">
        <f>"näidendid; draama"</f>
        <v>näidendid; draama</v>
      </c>
      <c r="G109" t="str">
        <f>"  täiskasvanud"</f>
        <v xml:space="preserve">  täiskasvanud</v>
      </c>
      <c r="H109" t="str">
        <f t="shared" si="8"/>
        <v>1928</v>
      </c>
      <c r="I109" t="str">
        <f>"Noorte kohus"</f>
        <v>Noorte kohus</v>
      </c>
      <c r="J109" t="str">
        <f>"Andresen, Nigol"</f>
        <v>Andresen, Nigol</v>
      </c>
      <c r="K109" t="str">
        <f>"Tavet Mutsu, Tallinn"</f>
        <v>Tavet Mutsu, Tallinn</v>
      </c>
      <c r="L109" t="str">
        <f>""</f>
        <v/>
      </c>
      <c r="M109" t="str">
        <f>""</f>
        <v/>
      </c>
    </row>
    <row r="110" spans="1:13" ht="15">
      <c r="A110" t="s">
        <v>134</v>
      </c>
      <c r="B110" t="str">
        <f>"6628"</f>
        <v>6628</v>
      </c>
      <c r="C110" t="str">
        <f>"1926"</f>
        <v>1926</v>
      </c>
      <c r="D110" t="str">
        <f>"Huligaani"</f>
        <v>Huligaani</v>
      </c>
      <c r="E110" t="str">
        <f t="shared" si="5"/>
        <v>viro</v>
      </c>
      <c r="F110" t="str">
        <f>"lühiproosa, proosa"</f>
        <v>lühiproosa, proosa</v>
      </c>
      <c r="G110" t="str">
        <f>"  täiskasvanud"</f>
        <v xml:space="preserve">  täiskasvanud</v>
      </c>
      <c r="H110" t="str">
        <f t="shared" si="8"/>
        <v>1928</v>
      </c>
      <c r="I110" t="str">
        <f>"Huligaan"</f>
        <v>Huligaan</v>
      </c>
      <c r="J110" t="str">
        <f>"Pürkop, H."</f>
        <v>Pürkop, H.</v>
      </c>
      <c r="K110" t="str">
        <f>"Loodus, Tartu"</f>
        <v>Loodus, Tartu</v>
      </c>
      <c r="L110" t="str">
        <f>""</f>
        <v/>
      </c>
      <c r="M110" t="str">
        <f>""</f>
        <v/>
      </c>
    </row>
    <row r="111" spans="1:13" ht="15">
      <c r="A111" t="s">
        <v>134</v>
      </c>
      <c r="B111" t="str">
        <f>"6631"</f>
        <v>6631</v>
      </c>
      <c r="C111" t="str">
        <f>"1927"</f>
        <v>1927</v>
      </c>
      <c r="D111" t="str">
        <f>"Minun Marttani"</f>
        <v>Minun Marttani</v>
      </c>
      <c r="E111" t="str">
        <f t="shared" si="5"/>
        <v>viro</v>
      </c>
      <c r="F111" t="str">
        <f>"romaanid; proosa"</f>
        <v>romaanid; proosa</v>
      </c>
      <c r="G111" t="str">
        <f>"  täiskasvanud"</f>
        <v xml:space="preserve">  täiskasvanud</v>
      </c>
      <c r="H111" t="str">
        <f t="shared" si="8"/>
        <v>1928</v>
      </c>
      <c r="I111" t="str">
        <f>"Minu Marta"</f>
        <v>Minu Marta</v>
      </c>
      <c r="J111" t="str">
        <f>"Selge, A."</f>
        <v>Selge, A.</v>
      </c>
      <c r="K111" t="str">
        <f>"Tapperi kirjastus, Tartu"</f>
        <v>Tapperi kirjastus, Tartu</v>
      </c>
      <c r="L111" t="str">
        <f>""</f>
        <v/>
      </c>
      <c r="M111" t="str">
        <f>""</f>
        <v/>
      </c>
    </row>
    <row r="112" spans="1:13" ht="15">
      <c r="A112" t="s">
        <v>147</v>
      </c>
      <c r="B112" t="str">
        <f>"6641"</f>
        <v>6641</v>
      </c>
      <c r="C112" t="str">
        <f>"1926"</f>
        <v>1926</v>
      </c>
      <c r="D112" t="str">
        <f>"Reigin pappi"</f>
        <v>Reigin pappi</v>
      </c>
      <c r="E112" t="str">
        <f t="shared" si="5"/>
        <v>viro</v>
      </c>
      <c r="F112" t="str">
        <f>"romaanid; proosa"</f>
        <v>romaanid; proosa</v>
      </c>
      <c r="G112" t="str">
        <f>"  täiskasvanud"</f>
        <v xml:space="preserve">  täiskasvanud</v>
      </c>
      <c r="H112" t="str">
        <f t="shared" si="8"/>
        <v>1928</v>
      </c>
      <c r="I112" t="str">
        <f>"Reigi õpetaja"</f>
        <v>Reigi õpetaja</v>
      </c>
      <c r="J112" t="str">
        <f>"Tuglas, Friedebert"</f>
        <v>Tuglas, Friedebert</v>
      </c>
      <c r="K112" t="str">
        <f>"Eesti Kirjanduse Selts, Tartu"</f>
        <v>Eesti Kirjanduse Selts, Tartu</v>
      </c>
      <c r="L112" t="str">
        <f>""</f>
        <v/>
      </c>
      <c r="M112" t="str">
        <f>""</f>
        <v/>
      </c>
    </row>
    <row r="113" spans="1:13" ht="15">
      <c r="A113" t="s">
        <v>273</v>
      </c>
      <c r="B113" t="str">
        <f>"6694"</f>
        <v>6694</v>
      </c>
      <c r="C113" t="str">
        <f>"1920"</f>
        <v>1920</v>
      </c>
      <c r="D113" t="str">
        <f>"Hilja, maitotyttö"</f>
        <v>Hilja, maitotyttö</v>
      </c>
      <c r="E113" t="str">
        <f t="shared" si="5"/>
        <v>viro</v>
      </c>
      <c r="F113" t="str">
        <f>"lühiproosa, proosa"</f>
        <v>lühiproosa, proosa</v>
      </c>
      <c r="G113" t="str">
        <f>"  täiskasvanud"</f>
        <v xml:space="preserve">  täiskasvanud</v>
      </c>
      <c r="H113" t="str">
        <f t="shared" si="8"/>
        <v>1928</v>
      </c>
      <c r="I113" t="str">
        <f>"Karjatüdruk Hilja"</f>
        <v>Karjatüdruk Hilja</v>
      </c>
      <c r="J113" t="str">
        <f>"Pürkop, H."</f>
        <v>Pürkop, H.</v>
      </c>
      <c r="K113" t="str">
        <f>"Loodus, Tartu"</f>
        <v>Loodus, Tartu</v>
      </c>
      <c r="L113" t="str">
        <f>""</f>
        <v/>
      </c>
      <c r="M113" t="str">
        <f>""</f>
        <v/>
      </c>
    </row>
    <row r="114" spans="1:13" ht="15">
      <c r="A114" t="s">
        <v>273</v>
      </c>
      <c r="B114" t="str">
        <f>"6695"</f>
        <v>6695</v>
      </c>
      <c r="C114" t="str">
        <f>"1908"</f>
        <v>1908</v>
      </c>
      <c r="D114" t="str">
        <f>"Pakolaiset : talonpoikaistarina"</f>
        <v>Pakolaiset : talonpoikaistarina</v>
      </c>
      <c r="E114" t="str">
        <f t="shared" si="5"/>
        <v>viro</v>
      </c>
      <c r="F114" t="str">
        <f>"romaanid; proosa"</f>
        <v>romaanid; proosa</v>
      </c>
      <c r="G114" t="str">
        <f>"  täiskasvanud"</f>
        <v xml:space="preserve">  täiskasvanud</v>
      </c>
      <c r="H114" t="str">
        <f t="shared" si="8"/>
        <v>1928</v>
      </c>
      <c r="I114" t="str">
        <f>"Pagulased"</f>
        <v>Pagulased</v>
      </c>
      <c r="J114" t="str">
        <f>"Jaakson, L."</f>
        <v>Jaakson, L.</v>
      </c>
      <c r="K114" t="str">
        <f>"Tapperi kirjastus, Tartu"</f>
        <v>Tapperi kirjastus, Tartu</v>
      </c>
      <c r="L114" t="str">
        <f>""</f>
        <v/>
      </c>
      <c r="M114" t="str">
        <f>""</f>
        <v/>
      </c>
    </row>
    <row r="115" spans="1:13" ht="15">
      <c r="A115" t="s">
        <v>334</v>
      </c>
      <c r="B115" t="str">
        <f>"6707"</f>
        <v>6707</v>
      </c>
      <c r="C115" t="str">
        <f>"1920"</f>
        <v>1920</v>
      </c>
      <c r="D115" t="str">
        <f>"Raumlaissi jaarituksi"</f>
        <v>Raumlaissi jaarituksi</v>
      </c>
      <c r="E115" t="str">
        <f t="shared" si="5"/>
        <v>viro</v>
      </c>
      <c r="F115" t="str">
        <f>"lühiproosa, proosa"</f>
        <v>lühiproosa, proosa</v>
      </c>
      <c r="G115" t="str">
        <f>"  täiskasvanud"</f>
        <v xml:space="preserve">  täiskasvanud</v>
      </c>
      <c r="H115" t="str">
        <f t="shared" si="8"/>
        <v>1928</v>
      </c>
      <c r="I115" t="str">
        <f>"Raoma jutujavatused"</f>
        <v>Raoma jutujavatused</v>
      </c>
      <c r="J115" t="str">
        <f>"Mägiste, Julius"</f>
        <v>Mägiste, Julius</v>
      </c>
      <c r="K115" t="str">
        <f>"Noor-Eesti Kirjastus, Tartu"</f>
        <v>Noor-Eesti Kirjastus, Tartu</v>
      </c>
      <c r="L115" t="str">
        <f>""</f>
        <v/>
      </c>
      <c r="M115" t="str">
        <f>""</f>
        <v/>
      </c>
    </row>
    <row r="116" spans="1:13" ht="15">
      <c r="A116" t="s">
        <v>466</v>
      </c>
      <c r="B116" t="str">
        <f>"6734"</f>
        <v>6734</v>
      </c>
      <c r="C116" t="str">
        <f>"1923"</f>
        <v>1923</v>
      </c>
      <c r="D116" t="str">
        <f>"Hiltu ja Ragnar : kertomus kahdesta ihmislapsesta"</f>
        <v>Hiltu ja Ragnar : kertomus kahdesta ihmislapsesta</v>
      </c>
      <c r="E116" t="str">
        <f t="shared" si="5"/>
        <v>viro</v>
      </c>
      <c r="F116" t="str">
        <f>"romaanid; proosa"</f>
        <v>romaanid; proosa</v>
      </c>
      <c r="G116" t="str">
        <f>"  täiskasvanud"</f>
        <v xml:space="preserve">  täiskasvanud</v>
      </c>
      <c r="H116" t="str">
        <f t="shared" si="8"/>
        <v>1928</v>
      </c>
      <c r="I116" t="str">
        <f>"Hildu ja Ragnar"</f>
        <v>Hildu ja Ragnar</v>
      </c>
      <c r="J116" t="str">
        <f>"Põld, J."</f>
        <v>Põld, J.</v>
      </c>
      <c r="K116" t="str">
        <f>"Loodus, Tartu"</f>
        <v>Loodus, Tartu</v>
      </c>
      <c r="L116" t="str">
        <f>""</f>
        <v/>
      </c>
      <c r="M116" t="str">
        <f>""</f>
        <v/>
      </c>
    </row>
    <row r="117" spans="1:13" ht="15">
      <c r="A117" t="s">
        <v>482</v>
      </c>
      <c r="B117" t="str">
        <f>"6744"</f>
        <v>6744</v>
      </c>
      <c r="C117" t="str">
        <f>"1922"</f>
        <v>1922</v>
      </c>
      <c r="D117" t="str">
        <f>"Sunnuntai : romaani"</f>
        <v>Sunnuntai : romaani</v>
      </c>
      <c r="E117" t="str">
        <f t="shared" si="5"/>
        <v>viro</v>
      </c>
      <c r="F117" t="str">
        <f>"romaanid; proosa"</f>
        <v>romaanid; proosa</v>
      </c>
      <c r="G117" t="str">
        <f>"  täiskasvanud"</f>
        <v xml:space="preserve">  täiskasvanud</v>
      </c>
      <c r="H117" t="str">
        <f t="shared" si="8"/>
        <v>1928</v>
      </c>
      <c r="I117" t="str">
        <f>"Pühapäev"</f>
        <v>Pühapäev</v>
      </c>
      <c r="J117" t="str">
        <f>"Jürgenstein, Hella"</f>
        <v>Jürgenstein, Hella</v>
      </c>
      <c r="K117" t="str">
        <f>"Noor-Eesti Kirjastus, Tartu"</f>
        <v>Noor-Eesti Kirjastus, Tartu</v>
      </c>
      <c r="L117" t="str">
        <f>""</f>
        <v/>
      </c>
      <c r="M117" t="str">
        <f>""</f>
        <v/>
      </c>
    </row>
    <row r="118" spans="1:13" ht="15">
      <c r="A118" t="s">
        <v>487</v>
      </c>
      <c r="B118" t="str">
        <f>"6754"</f>
        <v>6754</v>
      </c>
      <c r="C118" t="str">
        <f>"1919"</f>
        <v>1919</v>
      </c>
      <c r="D118" t="str">
        <f>"Ollin oppivuodet"</f>
        <v>Ollin oppivuodet</v>
      </c>
      <c r="E118" t="str">
        <f t="shared" si="5"/>
        <v>viro</v>
      </c>
      <c r="F118" t="str">
        <f>"romaanid; proosa"</f>
        <v>romaanid; proosa</v>
      </c>
      <c r="G118" t="str">
        <f>" lapsed ja noored"</f>
        <v xml:space="preserve"> lapsed ja noored</v>
      </c>
      <c r="H118" t="str">
        <f t="shared" si="8"/>
        <v>1928</v>
      </c>
      <c r="I118" t="str">
        <f>"Olli elukool"</f>
        <v>Olli elukool</v>
      </c>
      <c r="J118" t="str">
        <f>"Nurmik, M."</f>
        <v>Nurmik, M.</v>
      </c>
      <c r="K118" t="str">
        <f>"Eesti Õpetajate Liit, Tallinn"</f>
        <v>Eesti Õpetajate Liit, Tallinn</v>
      </c>
      <c r="L118" t="str">
        <f>""</f>
        <v/>
      </c>
      <c r="M118" t="str">
        <f>""</f>
        <v/>
      </c>
    </row>
    <row r="119" spans="1:13" ht="15">
      <c r="A119" t="s">
        <v>556</v>
      </c>
      <c r="B119" t="str">
        <f>"6790"</f>
        <v>6790</v>
      </c>
      <c r="C119" t="str">
        <f>"1926"</f>
        <v>1926</v>
      </c>
      <c r="D119" t="str">
        <f>"Kahden ladun poikki"</f>
        <v>Kahden ladun poikki</v>
      </c>
      <c r="E119" t="str">
        <f t="shared" si="5"/>
        <v>viro</v>
      </c>
      <c r="F119" t="str">
        <f>"romaanid; proosa"</f>
        <v>romaanid; proosa</v>
      </c>
      <c r="G119" t="str">
        <f>"  täiskasvanud"</f>
        <v xml:space="preserve">  täiskasvanud</v>
      </c>
      <c r="H119" t="str">
        <f t="shared" si="8"/>
        <v>1928</v>
      </c>
      <c r="I119" t="str">
        <f>"Üle kahe suusatee"</f>
        <v>Üle kahe suusatee</v>
      </c>
      <c r="J119" t="str">
        <f>"H[olberg], S[elma]"</f>
        <v>H[olberg], S[elma]</v>
      </c>
      <c r="K119" t="str">
        <f>"Tapperi kirjastus, Tartu"</f>
        <v>Tapperi kirjastus, Tartu</v>
      </c>
      <c r="L119" t="str">
        <f>""</f>
        <v/>
      </c>
      <c r="M119" t="str">
        <f>""</f>
        <v/>
      </c>
    </row>
    <row r="120" spans="1:13" ht="15">
      <c r="A120" t="s">
        <v>54</v>
      </c>
      <c r="B120" t="str">
        <f>"6601"</f>
        <v>6601</v>
      </c>
      <c r="C120" t="str">
        <f>"1928"</f>
        <v>1928</v>
      </c>
      <c r="D120" t="str">
        <f>"Kenttä ja kasarmi"</f>
        <v>Kenttä ja kasarmi</v>
      </c>
      <c r="E120" t="str">
        <f t="shared" si="5"/>
        <v>viro</v>
      </c>
      <c r="F120" t="str">
        <f>"lühiproosa, proosa"</f>
        <v>lühiproosa, proosa</v>
      </c>
      <c r="G120" t="str">
        <f>"  täiskasvanud"</f>
        <v xml:space="preserve">  täiskasvanud</v>
      </c>
      <c r="H120" t="str">
        <f aca="true" t="shared" si="9" ref="H120:H128">"1929"</f>
        <v>1929</v>
      </c>
      <c r="I120" t="str">
        <f>"Kasarmus ja õppeväljal"</f>
        <v>Kasarmus ja õppeväljal</v>
      </c>
      <c r="J120" t="str">
        <f>"Aspel, Aleksander"</f>
        <v>Aspel, Aleksander</v>
      </c>
      <c r="K120" t="str">
        <f>"Noor-Eesti Kirjastus, Tartu"</f>
        <v>Noor-Eesti Kirjastus, Tartu</v>
      </c>
      <c r="L120" t="str">
        <f>""</f>
        <v/>
      </c>
      <c r="M120" t="str">
        <f>""</f>
        <v/>
      </c>
    </row>
    <row r="121" spans="1:13" ht="15">
      <c r="A121" t="s">
        <v>147</v>
      </c>
      <c r="B121" t="str">
        <f>"6638"</f>
        <v>6638</v>
      </c>
      <c r="C121" t="str">
        <f>""</f>
        <v/>
      </c>
      <c r="D121" t="str">
        <f>"Meren takaa (1904-1905) ;  Ants Raudjalg (1907)"</f>
        <v>Meren takaa (1904-1905) ;  Ants Raudjalg (1907)</v>
      </c>
      <c r="E121" t="str">
        <f t="shared" si="5"/>
        <v>viro</v>
      </c>
      <c r="F121" t="str">
        <f>"lühiproosa; romaanid; proosa"</f>
        <v>lühiproosa; romaanid; proosa</v>
      </c>
      <c r="G121" t="str">
        <f>"  täiskasvanud"</f>
        <v xml:space="preserve">  täiskasvanud</v>
      </c>
      <c r="H121" t="str">
        <f t="shared" si="9"/>
        <v>1929</v>
      </c>
      <c r="I121" t="str">
        <f>"Mere tagant ; Ants Raudjalg"</f>
        <v>Mere tagant ; Ants Raudjalg</v>
      </c>
      <c r="J121" t="str">
        <f>"Aavik, Johannes, Suits, Gustav"</f>
        <v>Aavik, Johannes, Suits, Gustav</v>
      </c>
      <c r="K121" t="str">
        <f>"EKS, Tartu"</f>
        <v>EKS, Tartu</v>
      </c>
      <c r="L121" t="str">
        <f>""</f>
        <v/>
      </c>
      <c r="M121" t="str">
        <f>""</f>
        <v/>
      </c>
    </row>
    <row r="122" spans="1:13" ht="15">
      <c r="A122" t="s">
        <v>147</v>
      </c>
      <c r="B122" t="str">
        <f>"10260"</f>
        <v>10260</v>
      </c>
      <c r="C122" t="str">
        <f>"1928"</f>
        <v>1928</v>
      </c>
      <c r="D122" t="str">
        <f>"Sudenmorsian"</f>
        <v>Sudenmorsian</v>
      </c>
      <c r="E122" t="str">
        <f t="shared" si="5"/>
        <v>viro</v>
      </c>
      <c r="F122" t="str">
        <f>"romaanid; proosa"</f>
        <v>romaanid; proosa</v>
      </c>
      <c r="G122" t="str">
        <f>"  täiskasvanud"</f>
        <v xml:space="preserve">  täiskasvanud</v>
      </c>
      <c r="H122" t="str">
        <f t="shared" si="9"/>
        <v>1929</v>
      </c>
      <c r="I122" t="str">
        <f>"Hundimõrsja"</f>
        <v>Hundimõrsja</v>
      </c>
      <c r="J122" t="str">
        <f>"Tuglas, Friedebert"</f>
        <v>Tuglas, Friedebert</v>
      </c>
      <c r="K122" t="str">
        <f>"Noor-Eesti Kirjastus, Tartu"</f>
        <v>Noor-Eesti Kirjastus, Tartu</v>
      </c>
      <c r="L122" t="str">
        <f>""</f>
        <v/>
      </c>
      <c r="M122" t="str">
        <f>""</f>
        <v/>
      </c>
    </row>
    <row r="123" spans="1:13" ht="15">
      <c r="A123" t="s">
        <v>147</v>
      </c>
      <c r="B123" t="str">
        <f>"10760"</f>
        <v>10760</v>
      </c>
      <c r="C123" t="str">
        <f>"1915"</f>
        <v>1915</v>
      </c>
      <c r="D123" t="str">
        <f>"Tähdenlento : virolaisen runoilijattaren Koidulan elämä"</f>
        <v>Tähdenlento : virolaisen runoilijattaren Koidulan elämä</v>
      </c>
      <c r="E123" t="str">
        <f t="shared" si="5"/>
        <v>viro</v>
      </c>
      <c r="F123" t="str">
        <f>""</f>
        <v/>
      </c>
      <c r="G123" t="str">
        <f>"  täiskasvanud"</f>
        <v xml:space="preserve">  täiskasvanud</v>
      </c>
      <c r="H123" t="str">
        <f t="shared" si="9"/>
        <v>1929</v>
      </c>
      <c r="I123" t="str">
        <f>"Tähelend"</f>
        <v>Tähelend</v>
      </c>
      <c r="J123" t="str">
        <f>"Tuglas, Friedebert"</f>
        <v>Tuglas, Friedebert</v>
      </c>
      <c r="K123" t="str">
        <f>"Eesti Kirjanduse Selts, Tartu"</f>
        <v>Eesti Kirjanduse Selts, Tartu</v>
      </c>
      <c r="L123" t="str">
        <f>""</f>
        <v/>
      </c>
      <c r="M123" t="str">
        <f>""</f>
        <v/>
      </c>
    </row>
    <row r="124" spans="1:13" ht="15">
      <c r="A124" t="s">
        <v>197</v>
      </c>
      <c r="B124" t="str">
        <f>"6664"</f>
        <v>6664</v>
      </c>
      <c r="C124" t="str">
        <f>"1919"</f>
        <v>1919</v>
      </c>
      <c r="D124" t="str">
        <f>"Aurinko, kuu ja valkea hevonen"</f>
        <v>Aurinko, kuu ja valkea hevonen</v>
      </c>
      <c r="E124" t="str">
        <f t="shared" si="5"/>
        <v>viro</v>
      </c>
      <c r="F124" t="str">
        <f>"lühiproosa, proosa"</f>
        <v>lühiproosa, proosa</v>
      </c>
      <c r="G124" t="str">
        <f>"  täiskasvanud"</f>
        <v xml:space="preserve">  täiskasvanud</v>
      </c>
      <c r="H124" t="str">
        <f t="shared" si="9"/>
        <v>1929</v>
      </c>
      <c r="I124" t="str">
        <f>"Ollikaise õnnis lõpp"</f>
        <v>Ollikaise õnnis lõpp</v>
      </c>
      <c r="J124" t="str">
        <f>"Rahkama, A."</f>
        <v>Rahkama, A.</v>
      </c>
      <c r="K124" t="str">
        <f>"Loodus, Tartu"</f>
        <v>Loodus, Tartu</v>
      </c>
      <c r="L124" t="str">
        <f>""</f>
        <v/>
      </c>
      <c r="M124" t="str">
        <f>""</f>
        <v/>
      </c>
    </row>
    <row r="125" spans="1:13" ht="15">
      <c r="A125" t="s">
        <v>197</v>
      </c>
      <c r="B125" t="str">
        <f>"6665"</f>
        <v>6665</v>
      </c>
      <c r="C125" t="str">
        <f>"1919"</f>
        <v>1919</v>
      </c>
      <c r="D125" t="str">
        <f>"Aurinko, kuu ja valkea hevonen"</f>
        <v>Aurinko, kuu ja valkea hevonen</v>
      </c>
      <c r="E125" t="str">
        <f t="shared" si="5"/>
        <v>viro</v>
      </c>
      <c r="F125" t="str">
        <f>"lühiproosa, proosa"</f>
        <v>lühiproosa, proosa</v>
      </c>
      <c r="G125" t="str">
        <f>"  täiskasvanud"</f>
        <v xml:space="preserve">  täiskasvanud</v>
      </c>
      <c r="H125" t="str">
        <f t="shared" si="9"/>
        <v>1929</v>
      </c>
      <c r="I125" t="str">
        <f>"Päike, kuu ja valge hobune"</f>
        <v>Päike, kuu ja valge hobune</v>
      </c>
      <c r="J125" t="str">
        <f>"Rahkama, A."</f>
        <v>Rahkama, A.</v>
      </c>
      <c r="K125" t="str">
        <f>"Loodus, Tartu"</f>
        <v>Loodus, Tartu</v>
      </c>
      <c r="L125" t="str">
        <f>""</f>
        <v/>
      </c>
      <c r="M125" t="str">
        <f>""</f>
        <v/>
      </c>
    </row>
    <row r="126" spans="1:13" ht="15">
      <c r="A126" t="s">
        <v>289</v>
      </c>
      <c r="B126" t="str">
        <f>"6701"</f>
        <v>6701</v>
      </c>
      <c r="C126" t="str">
        <f>"1912"</f>
        <v>1912</v>
      </c>
      <c r="D126" t="str">
        <f>"Tähtimaailmassa : seikkailuja"</f>
        <v>Tähtimaailmassa : seikkailuja</v>
      </c>
      <c r="E126" t="str">
        <f t="shared" si="5"/>
        <v>viro</v>
      </c>
      <c r="F126" t="str">
        <f>"romaanid; proosa"</f>
        <v>romaanid; proosa</v>
      </c>
      <c r="G126" t="str">
        <f>" lapsed ja noored"</f>
        <v xml:space="preserve"> lapsed ja noored</v>
      </c>
      <c r="H126" t="str">
        <f t="shared" si="9"/>
        <v>1929</v>
      </c>
      <c r="I126" t="str">
        <f>"Tähtede maailmas"</f>
        <v>Tähtede maailmas</v>
      </c>
      <c r="J126" t="str">
        <f>"Tamm, Ann"</f>
        <v>Tamm, Ann</v>
      </c>
      <c r="K126" t="str">
        <f>"Eesti Kirjanduse Selts, Tartu"</f>
        <v>Eesti Kirjanduse Selts, Tartu</v>
      </c>
      <c r="L126" t="str">
        <f>""</f>
        <v/>
      </c>
      <c r="M126" t="str">
        <f>""</f>
        <v/>
      </c>
    </row>
    <row r="127" spans="1:13" ht="15">
      <c r="A127" t="s">
        <v>541</v>
      </c>
      <c r="B127" t="str">
        <f>"10200"</f>
        <v>10200</v>
      </c>
      <c r="C127" t="str">
        <f>"1927"</f>
        <v>1927</v>
      </c>
      <c r="D127" t="str">
        <f>"Älä nuolaise ennenkuin tipahtaa"</f>
        <v>Älä nuolaise ennenkuin tipahtaa</v>
      </c>
      <c r="E127" t="str">
        <f t="shared" si="5"/>
        <v>viro</v>
      </c>
      <c r="F127" t="str">
        <f>"romaanid; proosa"</f>
        <v>romaanid; proosa</v>
      </c>
      <c r="G127" t="str">
        <f>"  täiskasvanud"</f>
        <v xml:space="preserve">  täiskasvanud</v>
      </c>
      <c r="H127" t="str">
        <f t="shared" si="9"/>
        <v>1929</v>
      </c>
      <c r="I127" t="str">
        <f>"Ära hõiska enne õhtut!"</f>
        <v>Ära hõiska enne õhtut!</v>
      </c>
      <c r="J127" t="str">
        <f>"Karuste, A."</f>
        <v>Karuste, A.</v>
      </c>
      <c r="K127" t="str">
        <f>"Loodus, Tartu"</f>
        <v>Loodus, Tartu</v>
      </c>
      <c r="L127" t="str">
        <f>""</f>
        <v/>
      </c>
      <c r="M127" t="str">
        <f>""</f>
        <v/>
      </c>
    </row>
    <row r="128" spans="1:13" ht="15">
      <c r="A128" t="s">
        <v>563</v>
      </c>
      <c r="B128" t="str">
        <f>"9353"</f>
        <v>9353</v>
      </c>
      <c r="C128" t="str">
        <f>"1928"</f>
        <v>1928</v>
      </c>
      <c r="D128" t="str">
        <f>"Suuri illusioni"</f>
        <v>Suuri illusioni</v>
      </c>
      <c r="E128" t="str">
        <f t="shared" si="5"/>
        <v>viro</v>
      </c>
      <c r="F128" t="str">
        <f>"romaanid; proosa"</f>
        <v>romaanid; proosa</v>
      </c>
      <c r="G128" t="str">
        <f>"  täiskasvanud"</f>
        <v xml:space="preserve">  täiskasvanud</v>
      </c>
      <c r="H128" t="str">
        <f t="shared" si="9"/>
        <v>1929</v>
      </c>
      <c r="I128" t="str">
        <f>"Suur illusioon"</f>
        <v>Suur illusioon</v>
      </c>
      <c r="J128" t="str">
        <f>"Rahkama, A."</f>
        <v>Rahkama, A.</v>
      </c>
      <c r="K128" t="str">
        <f>"Loodus, Tartu"</f>
        <v>Loodus, Tartu</v>
      </c>
      <c r="L128" t="str">
        <f>""</f>
        <v/>
      </c>
      <c r="M128" t="str">
        <f>""</f>
        <v/>
      </c>
    </row>
    <row r="129" spans="1:13" ht="15">
      <c r="A129" t="s">
        <v>9</v>
      </c>
      <c r="B129" t="str">
        <f>"6576"</f>
        <v>6576</v>
      </c>
      <c r="C129" t="str">
        <f>"1920"</f>
        <v>1920</v>
      </c>
      <c r="D129" t="str">
        <f>"Muistatko? : kukkia keväiseltä niityltä"</f>
        <v>Muistatko? : kukkia keväiseltä niityltä</v>
      </c>
      <c r="E129" t="str">
        <f t="shared" si="5"/>
        <v>viro</v>
      </c>
      <c r="F129" t="str">
        <f>"romaanid; proosa"</f>
        <v>romaanid; proosa</v>
      </c>
      <c r="G129" t="str">
        <f>"  täiskasvanud"</f>
        <v xml:space="preserve">  täiskasvanud</v>
      </c>
      <c r="H129" t="str">
        <f aca="true" t="shared" si="10" ref="H129:H136">"1930"</f>
        <v>1930</v>
      </c>
      <c r="I129" t="str">
        <f>"Kas mäletad - ? Lilli kevadiselt niidult"</f>
        <v>Kas mäletad - ? Lilli kevadiselt niidult</v>
      </c>
      <c r="J129" t="str">
        <f>"Palm, August"</f>
        <v>Palm, August</v>
      </c>
      <c r="K129" t="str">
        <f>"Eesti Kirjanduse Selts, Tartu"</f>
        <v>Eesti Kirjanduse Selts, Tartu</v>
      </c>
      <c r="L129" t="str">
        <f>""</f>
        <v/>
      </c>
      <c r="M129" t="str">
        <f>""</f>
        <v/>
      </c>
    </row>
    <row r="130" spans="1:13" ht="15">
      <c r="A130" t="s">
        <v>61</v>
      </c>
      <c r="B130" t="str">
        <f>"6607"</f>
        <v>6607</v>
      </c>
      <c r="C130" t="str">
        <f>"1903"</f>
        <v>1903</v>
      </c>
      <c r="D130" t="str">
        <f>"Murtuneita : nelinäytöksinen näytelmä"</f>
        <v>Murtuneita : nelinäytöksinen näytelmä</v>
      </c>
      <c r="E130" t="str">
        <f t="shared" si="5"/>
        <v>viro</v>
      </c>
      <c r="F130" t="str">
        <f>"näidendid; draama"</f>
        <v>näidendid; draama</v>
      </c>
      <c r="G130" t="str">
        <f>"  täiskasvanud"</f>
        <v xml:space="preserve">  täiskasvanud</v>
      </c>
      <c r="H130" t="str">
        <f t="shared" si="10"/>
        <v>1930</v>
      </c>
      <c r="I130" t="str">
        <f>"Kändude ääres"</f>
        <v>Kändude ääres</v>
      </c>
      <c r="J130" t="str">
        <f>"Metua, J."</f>
        <v>Metua, J.</v>
      </c>
      <c r="K130" t="str">
        <f>"Mutsu, Tallinn"</f>
        <v>Mutsu, Tallinn</v>
      </c>
      <c r="L130" t="str">
        <f>""</f>
        <v/>
      </c>
      <c r="M130" t="str">
        <f>""</f>
        <v/>
      </c>
    </row>
    <row r="131" spans="1:13" ht="15">
      <c r="A131" t="s">
        <v>134</v>
      </c>
      <c r="B131" t="str">
        <f>"6626"</f>
        <v>6626</v>
      </c>
      <c r="C131" t="str">
        <f>"1904"</f>
        <v>1904</v>
      </c>
      <c r="D131" t="str">
        <f>"Elämän meri : kokoelma kertomuksia"</f>
        <v>Elämän meri : kokoelma kertomuksia</v>
      </c>
      <c r="E131" t="str">
        <f t="shared" si="5"/>
        <v>viro</v>
      </c>
      <c r="F131" t="str">
        <f>"lühiproosa, proosa"</f>
        <v>lühiproosa, proosa</v>
      </c>
      <c r="G131" t="str">
        <f>"  täiskasvanud"</f>
        <v xml:space="preserve">  täiskasvanud</v>
      </c>
      <c r="H131" t="str">
        <f t="shared" si="10"/>
        <v>1930</v>
      </c>
      <c r="I131" t="str">
        <f>"Elu meri"</f>
        <v>Elu meri</v>
      </c>
      <c r="J131" t="str">
        <f>"Selge, A."</f>
        <v>Selge, A.</v>
      </c>
      <c r="K131" t="str">
        <f>"Tapperi kirjastus, Tartu"</f>
        <v>Tapperi kirjastus, Tartu</v>
      </c>
      <c r="L131" t="str">
        <f>""</f>
        <v/>
      </c>
      <c r="M131" t="str">
        <f>""</f>
        <v/>
      </c>
    </row>
    <row r="132" spans="1:13" ht="15">
      <c r="A132" t="s">
        <v>147</v>
      </c>
      <c r="B132" t="str">
        <f>"6886"</f>
        <v>6886</v>
      </c>
      <c r="C132" t="str">
        <f>"1920"</f>
        <v>1920</v>
      </c>
      <c r="D132" t="str">
        <f>"Katinka Rabe : kirja lapsesta"</f>
        <v>Katinka Rabe : kirja lapsesta</v>
      </c>
      <c r="E132" t="str">
        <f t="shared" si="5"/>
        <v>viro</v>
      </c>
      <c r="F132" t="str">
        <f>"romaanid; proosa"</f>
        <v>romaanid; proosa</v>
      </c>
      <c r="G132" t="str">
        <f>"  täiskasvanud"</f>
        <v xml:space="preserve">  täiskasvanud</v>
      </c>
      <c r="H132" t="str">
        <f t="shared" si="10"/>
        <v>1930</v>
      </c>
      <c r="I132" t="str">
        <f>"Katinka Rabe"</f>
        <v>Katinka Rabe</v>
      </c>
      <c r="J132" t="str">
        <f>"Tuglas, Friedebert"</f>
        <v>Tuglas, Friedebert</v>
      </c>
      <c r="K132" t="str">
        <f>"Eesti Kirjanduse Selts, Tartu"</f>
        <v>Eesti Kirjanduse Selts, Tartu</v>
      </c>
      <c r="L132" t="str">
        <f>""</f>
        <v/>
      </c>
      <c r="M132" t="str">
        <f>""</f>
        <v/>
      </c>
    </row>
    <row r="133" spans="1:13" ht="15">
      <c r="A133" t="s">
        <v>292</v>
      </c>
      <c r="B133" t="str">
        <f>"12331"</f>
        <v>12331</v>
      </c>
      <c r="C133" t="str">
        <f>"1849"</f>
        <v>1849</v>
      </c>
      <c r="D133" t="str">
        <f>"Kalevala"</f>
        <v>Kalevala</v>
      </c>
      <c r="E133" t="str">
        <f t="shared" si="5"/>
        <v>viro</v>
      </c>
      <c r="F133" t="str">
        <f>"luule, rahvaluule"</f>
        <v>luule, rahvaluule</v>
      </c>
      <c r="G133" t="str">
        <f>"  täiskasvanud"</f>
        <v xml:space="preserve">  täiskasvanud</v>
      </c>
      <c r="H133" t="str">
        <f t="shared" si="10"/>
        <v>1930</v>
      </c>
      <c r="I133" t="str">
        <f>"Kalevala"</f>
        <v>Kalevala</v>
      </c>
      <c r="J133" t="str">
        <f>"Grünthal-Ridala, Villem"</f>
        <v>Grünthal-Ridala, Villem</v>
      </c>
      <c r="K133" t="str">
        <f>"[s.n.], [s.l.]"</f>
        <v>[s.n.], [s.l.]</v>
      </c>
      <c r="L133" t="str">
        <f>""</f>
        <v/>
      </c>
      <c r="M133" t="str">
        <f>""</f>
        <v/>
      </c>
    </row>
    <row r="134" spans="1:13" ht="15">
      <c r="A134" t="s">
        <v>292</v>
      </c>
      <c r="B134" t="str">
        <f>"10545"</f>
        <v>10545</v>
      </c>
      <c r="C134" t="str">
        <f>"1849"</f>
        <v>1849</v>
      </c>
      <c r="D134" t="str">
        <f>"Kalevala"</f>
        <v>Kalevala</v>
      </c>
      <c r="E134" t="str">
        <f t="shared" si="5"/>
        <v>viro</v>
      </c>
      <c r="F134" t="str">
        <f>"luule, rahvaluule"</f>
        <v>luule, rahvaluule</v>
      </c>
      <c r="G134" t="str">
        <f>"  täiskasvanud"</f>
        <v xml:space="preserve">  täiskasvanud</v>
      </c>
      <c r="H134" t="str">
        <f t="shared" si="10"/>
        <v>1930</v>
      </c>
      <c r="I134" t="str">
        <f>"Kalevala"</f>
        <v>Kalevala</v>
      </c>
      <c r="J134" t="str">
        <f>"Grünthal-Ridala, Villem"</f>
        <v>Grünthal-Ridala, Villem</v>
      </c>
      <c r="K134" t="str">
        <f>"[s.n.], [s.l.]"</f>
        <v>[s.n.], [s.l.]</v>
      </c>
      <c r="L134" t="str">
        <f>""</f>
        <v/>
      </c>
      <c r="M134" t="str">
        <f>""</f>
        <v/>
      </c>
    </row>
    <row r="135" spans="1:13" ht="15">
      <c r="A135" t="s">
        <v>292</v>
      </c>
      <c r="B135" t="str">
        <f>"11136"</f>
        <v>11136</v>
      </c>
      <c r="C135" t="str">
        <f>"1841"</f>
        <v>1841</v>
      </c>
      <c r="D135" t="str">
        <f>"Kanteletar, taikka, Suomen kansan wanhoja lauluja ja wirsiä"</f>
        <v>Kanteletar, taikka, Suomen kansan wanhoja lauluja ja wirsiä</v>
      </c>
      <c r="E135" t="str">
        <f t="shared" si="5"/>
        <v>viro</v>
      </c>
      <c r="F135" t="str">
        <f>"folkloor"</f>
        <v>folkloor</v>
      </c>
      <c r="G135" t="str">
        <f>"  täiskasvanud"</f>
        <v xml:space="preserve">  täiskasvanud</v>
      </c>
      <c r="H135" t="str">
        <f t="shared" si="10"/>
        <v>1930</v>
      </c>
      <c r="I135" t="str">
        <f>"Kanteletar. I osa, Soome rahva kangelaslugusid, ballaade ja legende"</f>
        <v>Kanteletar. I osa, Soome rahva kangelaslugusid, ballaade ja legende</v>
      </c>
      <c r="J135" t="str">
        <f>"Annist, August"</f>
        <v>Annist, August</v>
      </c>
      <c r="K135" t="str">
        <f>"Eesti Kirjanduse Seltsi Kirjastus, Tartu"</f>
        <v>Eesti Kirjanduse Seltsi Kirjastus, Tartu</v>
      </c>
      <c r="L135" t="str">
        <f>""</f>
        <v/>
      </c>
      <c r="M135" t="str">
        <f>""</f>
        <v/>
      </c>
    </row>
    <row r="136" spans="1:13" ht="15">
      <c r="A136" t="s">
        <v>541</v>
      </c>
      <c r="B136" t="str">
        <f>"8772"</f>
        <v>8772</v>
      </c>
      <c r="C136" t="str">
        <f>"1926"</f>
        <v>1926</v>
      </c>
      <c r="D136" t="str">
        <f>"Nuoren opettajattaren varaventtiili"</f>
        <v>Nuoren opettajattaren varaventtiili</v>
      </c>
      <c r="E136" t="str">
        <f t="shared" si="5"/>
        <v>viro</v>
      </c>
      <c r="F136" t="str">
        <f>"romaanid; proosa"</f>
        <v>romaanid; proosa</v>
      </c>
      <c r="G136" t="str">
        <f>"  täiskasvanud"</f>
        <v xml:space="preserve">  täiskasvanud</v>
      </c>
      <c r="H136" t="str">
        <f t="shared" si="10"/>
        <v>1930</v>
      </c>
      <c r="I136" t="str">
        <f>"Noore naisõpetaja abiventiil"</f>
        <v>Noore naisõpetaja abiventiil</v>
      </c>
      <c r="J136" t="str">
        <f>"Rahkama, A."</f>
        <v>Rahkama, A.</v>
      </c>
      <c r="K136" t="str">
        <f>"Loodus, Tartu"</f>
        <v>Loodus, Tartu</v>
      </c>
      <c r="L136" t="str">
        <f>""</f>
        <v/>
      </c>
      <c r="M136" t="str">
        <f>""</f>
        <v/>
      </c>
    </row>
    <row r="137" spans="1:13" ht="15">
      <c r="A137" t="s">
        <v>126</v>
      </c>
      <c r="B137" t="str">
        <f>"6624"</f>
        <v>6624</v>
      </c>
      <c r="C137" t="str">
        <f>"1909"</f>
        <v>1909</v>
      </c>
      <c r="D137" t="str">
        <f>"Arkielämää"</f>
        <v>Arkielämää</v>
      </c>
      <c r="E137" t="str">
        <f t="shared" si="5"/>
        <v>viro</v>
      </c>
      <c r="F137" t="str">
        <f>"romaanid; proosa"</f>
        <v>romaanid; proosa</v>
      </c>
      <c r="G137" t="str">
        <f>"  täiskasvanud"</f>
        <v xml:space="preserve">  täiskasvanud</v>
      </c>
      <c r="H137" t="str">
        <f aca="true" t="shared" si="11" ref="H137:H142">"1931"</f>
        <v>1931</v>
      </c>
      <c r="I137" t="str">
        <f>"Argielu"</f>
        <v>Argielu</v>
      </c>
      <c r="J137" t="str">
        <f>"Tuglas, Friedebert"</f>
        <v>Tuglas, Friedebert</v>
      </c>
      <c r="K137" t="str">
        <f>"Noor-Eesti Kirjastus, Tartu"</f>
        <v>Noor-Eesti Kirjastus, Tartu</v>
      </c>
      <c r="L137" t="str">
        <f>""</f>
        <v/>
      </c>
      <c r="M137" t="str">
        <f>""</f>
        <v/>
      </c>
    </row>
    <row r="138" spans="1:13" ht="15">
      <c r="A138" t="s">
        <v>134</v>
      </c>
      <c r="B138" t="str">
        <f>"6627"</f>
        <v>6627</v>
      </c>
      <c r="C138" t="str">
        <f>"1925"</f>
        <v>1925</v>
      </c>
      <c r="D138" t="str">
        <f>"Greeta ja hänen Herransa"</f>
        <v>Greeta ja hänen Herransa</v>
      </c>
      <c r="E138" t="str">
        <f t="shared" si="5"/>
        <v>viro</v>
      </c>
      <c r="F138" t="str">
        <f>"romaanid; proosa"</f>
        <v>romaanid; proosa</v>
      </c>
      <c r="G138" t="str">
        <f>"  täiskasvanud"</f>
        <v xml:space="preserve">  täiskasvanud</v>
      </c>
      <c r="H138" t="str">
        <f t="shared" si="11"/>
        <v>1931</v>
      </c>
      <c r="I138" t="str">
        <f>"Greeta ja tema Issand"</f>
        <v>Greeta ja tema Issand</v>
      </c>
      <c r="J138" t="str">
        <f>"Raud, M."</f>
        <v>Raud, M.</v>
      </c>
      <c r="K138" t="str">
        <f>"Noor-Eesti Kirjastus, Tartu"</f>
        <v>Noor-Eesti Kirjastus, Tartu</v>
      </c>
      <c r="L138" t="str">
        <f>""</f>
        <v/>
      </c>
      <c r="M138" t="str">
        <f>""</f>
        <v/>
      </c>
    </row>
    <row r="139" spans="1:13" ht="15">
      <c r="A139" t="s">
        <v>147</v>
      </c>
      <c r="B139" t="str">
        <f>"6640"</f>
        <v>6640</v>
      </c>
      <c r="C139" t="str">
        <f>"1930"</f>
        <v>1930</v>
      </c>
      <c r="D139" t="str">
        <f>"Pyhän joen kosto : kaksi balladia"</f>
        <v>Pyhän joen kosto : kaksi balladia</v>
      </c>
      <c r="E139" t="str">
        <f aca="true" t="shared" si="12" ref="E139:E202">"viro"</f>
        <v>viro</v>
      </c>
      <c r="F139" t="str">
        <f>"lühiproosa, proosa"</f>
        <v>lühiproosa, proosa</v>
      </c>
      <c r="G139" t="str">
        <f>"  täiskasvanud"</f>
        <v xml:space="preserve">  täiskasvanud</v>
      </c>
      <c r="H139" t="str">
        <f t="shared" si="11"/>
        <v>1931</v>
      </c>
      <c r="I139" t="str">
        <f>"Püha jõe kättemaks"</f>
        <v>Püha jõe kättemaks</v>
      </c>
      <c r="J139" t="str">
        <f>"Tuglas, Friedebert"</f>
        <v>Tuglas, Friedebert</v>
      </c>
      <c r="K139" t="str">
        <f>"Eesti Kirjanduse Selts, Tartu"</f>
        <v>Eesti Kirjanduse Selts, Tartu</v>
      </c>
      <c r="L139" t="str">
        <f>""</f>
        <v/>
      </c>
      <c r="M139" t="str">
        <f>""</f>
        <v/>
      </c>
    </row>
    <row r="140" spans="1:13" ht="15">
      <c r="A140" t="s">
        <v>147</v>
      </c>
      <c r="B140" t="str">
        <f>"6645"</f>
        <v>6645</v>
      </c>
      <c r="C140" t="str">
        <f>""</f>
        <v/>
      </c>
      <c r="D140" t="str">
        <f>"Valkea laiva"</f>
        <v>Valkea laiva</v>
      </c>
      <c r="E140" t="str">
        <f t="shared" si="12"/>
        <v>viro</v>
      </c>
      <c r="F140" t="str">
        <f>"lühiproosa, proosa"</f>
        <v>lühiproosa, proosa</v>
      </c>
      <c r="G140" t="str">
        <f>"  täiskasvanud"</f>
        <v xml:space="preserve">  täiskasvanud</v>
      </c>
      <c r="H140" t="str">
        <f t="shared" si="11"/>
        <v>1931</v>
      </c>
      <c r="I140" t="str">
        <f>"Valge laev"</f>
        <v>Valge laev</v>
      </c>
      <c r="J140" t="str">
        <f>"Tuglas, Friedebert"</f>
        <v>Tuglas, Friedebert</v>
      </c>
      <c r="K140" t="str">
        <f>"Eesti Kirjanduse Selts, Tartu"</f>
        <v>Eesti Kirjanduse Selts, Tartu</v>
      </c>
      <c r="L140" t="str">
        <f>""</f>
        <v/>
      </c>
      <c r="M140" t="str">
        <f>""</f>
        <v/>
      </c>
    </row>
    <row r="141" spans="1:13" ht="15">
      <c r="A141" t="s">
        <v>292</v>
      </c>
      <c r="B141" t="str">
        <f>"11137"</f>
        <v>11137</v>
      </c>
      <c r="C141" t="str">
        <f>"1841"</f>
        <v>1841</v>
      </c>
      <c r="D141" t="str">
        <f>"Kanteletar, taikka, Suomen kansan wanhoja lauluja ja wirsiä"</f>
        <v>Kanteletar, taikka, Suomen kansan wanhoja lauluja ja wirsiä</v>
      </c>
      <c r="E141" t="str">
        <f t="shared" si="12"/>
        <v>viro</v>
      </c>
      <c r="F141" t="str">
        <f>"folkloor"</f>
        <v>folkloor</v>
      </c>
      <c r="G141" t="str">
        <f>"  täiskasvanud"</f>
        <v xml:space="preserve">  täiskasvanud</v>
      </c>
      <c r="H141" t="str">
        <f t="shared" si="11"/>
        <v>1931</v>
      </c>
      <c r="I141" t="str">
        <f>"Kanteletar. II osa, Soome rahva tundelaule, tarkusning nõidusluulet"</f>
        <v>Kanteletar. II osa, Soome rahva tundelaule, tarkusning nõidusluulet</v>
      </c>
      <c r="J141" t="str">
        <f>"Annist, August"</f>
        <v>Annist, August</v>
      </c>
      <c r="K141" t="str">
        <f>"Eesti Kirjanduse Seltsi Kirjastus, Tartu"</f>
        <v>Eesti Kirjanduse Seltsi Kirjastus, Tartu</v>
      </c>
      <c r="L141" t="str">
        <f>""</f>
        <v/>
      </c>
      <c r="M141" t="str">
        <f>""</f>
        <v/>
      </c>
    </row>
    <row r="142" spans="1:13" ht="15">
      <c r="A142" t="s">
        <v>360</v>
      </c>
      <c r="B142" t="str">
        <f>"6714"</f>
        <v>6714</v>
      </c>
      <c r="C142" t="str">
        <f>"1895"</f>
        <v>1895</v>
      </c>
      <c r="D142" t="str">
        <f>"Lapsia"</f>
        <v>Lapsia</v>
      </c>
      <c r="E142" t="str">
        <f t="shared" si="12"/>
        <v>viro</v>
      </c>
      <c r="F142" t="str">
        <f>"lühiproosa, proosa"</f>
        <v>lühiproosa, proosa</v>
      </c>
      <c r="G142" t="str">
        <f>"  täiskasvanud"</f>
        <v xml:space="preserve">  täiskasvanud</v>
      </c>
      <c r="H142" t="str">
        <f t="shared" si="11"/>
        <v>1931</v>
      </c>
      <c r="I142" t="str">
        <f>"Lapsed"</f>
        <v>Lapsed</v>
      </c>
      <c r="J142" t="str">
        <f>"Ratassepp, H."</f>
        <v>Ratassepp, H.</v>
      </c>
      <c r="K142" t="str">
        <f>"Eesti Kirjanduse Selts, Tartu"</f>
        <v>Eesti Kirjanduse Selts, Tartu</v>
      </c>
      <c r="L142" t="str">
        <f>""</f>
        <v/>
      </c>
      <c r="M142" t="str">
        <f>""</f>
        <v/>
      </c>
    </row>
    <row r="143" spans="1:13" ht="15">
      <c r="A143" t="s">
        <v>147</v>
      </c>
      <c r="B143" t="str">
        <f>"6639"</f>
        <v>6639</v>
      </c>
      <c r="C143" t="str">
        <f>"1932"</f>
        <v>1932</v>
      </c>
      <c r="D143" t="str">
        <f>"Bathseba Saarenmaalla : yksinäytöksinen näytelmä"</f>
        <v>Bathseba Saarenmaalla : yksinäytöksinen näytelmä</v>
      </c>
      <c r="E143" t="str">
        <f t="shared" si="12"/>
        <v>viro</v>
      </c>
      <c r="F143" t="str">
        <f>"näidendid; draama"</f>
        <v>näidendid; draama</v>
      </c>
      <c r="G143" t="str">
        <f>"  täiskasvanud"</f>
        <v xml:space="preserve">  täiskasvanud</v>
      </c>
      <c r="H143" t="str">
        <f>"1932"</f>
        <v>1932</v>
      </c>
      <c r="I143" t="str">
        <f>"Patseba Saaremaal"</f>
        <v>Patseba Saaremaal</v>
      </c>
      <c r="J143" t="str">
        <f>""</f>
        <v/>
      </c>
      <c r="K143" t="str">
        <f>"Noor-Eesti Kirjastus, Tartu"</f>
        <v>Noor-Eesti Kirjastus, Tartu</v>
      </c>
      <c r="L143" t="str">
        <f>""</f>
        <v/>
      </c>
      <c r="M143" t="str">
        <f>""</f>
        <v/>
      </c>
    </row>
    <row r="144" spans="1:13" ht="15">
      <c r="A144" t="s">
        <v>147</v>
      </c>
      <c r="B144" t="str">
        <f>"10758"</f>
        <v>10758</v>
      </c>
      <c r="C144" t="str">
        <f>"1931"</f>
        <v>1931</v>
      </c>
      <c r="D144" t="str">
        <f>"Marokon lumoissa : pieniä kirjeitä Marokosta"</f>
        <v>Marokon lumoissa : pieniä kirjeitä Marokosta</v>
      </c>
      <c r="E144" t="str">
        <f t="shared" si="12"/>
        <v>viro</v>
      </c>
      <c r="F144" t="str">
        <f>""</f>
        <v/>
      </c>
      <c r="G144" t="str">
        <f>"  täiskasvanud"</f>
        <v xml:space="preserve">  täiskasvanud</v>
      </c>
      <c r="H144" t="str">
        <f>"1932"</f>
        <v>1932</v>
      </c>
      <c r="I144" t="str">
        <f>"Maroko võlus"</f>
        <v>Maroko võlus</v>
      </c>
      <c r="J144" t="str">
        <f>""</f>
        <v/>
      </c>
      <c r="K144" t="str">
        <f>"Eesti Kirjanduse Selts, Tartu"</f>
        <v>Eesti Kirjanduse Selts, Tartu</v>
      </c>
      <c r="L144" t="str">
        <f>""</f>
        <v/>
      </c>
      <c r="M144" t="str">
        <f>""</f>
        <v/>
      </c>
    </row>
    <row r="145" spans="1:13" ht="15">
      <c r="A145" t="s">
        <v>360</v>
      </c>
      <c r="B145" t="str">
        <f>"14962"</f>
        <v>14962</v>
      </c>
      <c r="C145" t="str">
        <f>"1899"</f>
        <v>1899</v>
      </c>
      <c r="D145" t="str">
        <f>"Tukkijoella"</f>
        <v>Tukkijoella</v>
      </c>
      <c r="E145" t="str">
        <f t="shared" si="12"/>
        <v>viro</v>
      </c>
      <c r="F145" t="str">
        <f>"näidendid; draama"</f>
        <v>näidendid; draama</v>
      </c>
      <c r="G145" t="str">
        <f>"  täiskasvanud"</f>
        <v xml:space="preserve">  täiskasvanud</v>
      </c>
      <c r="H145" t="str">
        <f>"1932"</f>
        <v>1932</v>
      </c>
      <c r="I145" t="str">
        <f>"Parvepoisid"</f>
        <v>Parvepoisid</v>
      </c>
      <c r="J145" t="str">
        <f>"Ploompuu, Aleksander"</f>
        <v>Ploompuu, Aleksander</v>
      </c>
      <c r="K145" t="str">
        <f>"Mutsu, Tallinn"</f>
        <v>Mutsu, Tallinn</v>
      </c>
      <c r="L145" t="str">
        <f>""</f>
        <v/>
      </c>
      <c r="M145" t="str">
        <f>""</f>
        <v/>
      </c>
    </row>
    <row r="146" spans="1:13" ht="15">
      <c r="A146" t="s">
        <v>487</v>
      </c>
      <c r="B146" t="str">
        <f>"6753"</f>
        <v>6753</v>
      </c>
      <c r="C146" t="str">
        <f>"1918"</f>
        <v>1918</v>
      </c>
      <c r="D146" t="str">
        <f>"Kaarinan kesäloma"</f>
        <v>Kaarinan kesäloma</v>
      </c>
      <c r="E146" t="str">
        <f t="shared" si="12"/>
        <v>viro</v>
      </c>
      <c r="F146" t="str">
        <f>"romaanid; proosa"</f>
        <v>romaanid; proosa</v>
      </c>
      <c r="G146" t="str">
        <f>" lapsed ja noored"</f>
        <v xml:space="preserve"> lapsed ja noored</v>
      </c>
      <c r="H146" t="str">
        <f>"1932"</f>
        <v>1932</v>
      </c>
      <c r="I146" t="str">
        <f>"Kaarina suvi"</f>
        <v>Kaarina suvi</v>
      </c>
      <c r="J146" t="str">
        <f>"Aspel, Aleksander"</f>
        <v>Aspel, Aleksander</v>
      </c>
      <c r="K146" t="str">
        <f>"Noor-Eesti Kirjastus, Tartu"</f>
        <v>Noor-Eesti Kirjastus, Tartu</v>
      </c>
      <c r="L146" t="str">
        <f>""</f>
        <v/>
      </c>
      <c r="M146" t="str">
        <f>""</f>
        <v/>
      </c>
    </row>
    <row r="147" spans="1:13" ht="15">
      <c r="A147" t="s">
        <v>566</v>
      </c>
      <c r="B147" t="str">
        <f>"6784"</f>
        <v>6784</v>
      </c>
      <c r="C147" t="str">
        <f>"1911"</f>
        <v>1911</v>
      </c>
      <c r="D147" t="str">
        <f>"Tapani Löfvingin seikkailut Isonvihan aikana hänen oman päiväkirjansa pohjalla"</f>
        <v>Tapani Löfvingin seikkailut Isonvihan aikana hänen oman päiväkirjansa pohjalla</v>
      </c>
      <c r="E147" t="str">
        <f t="shared" si="12"/>
        <v>viro</v>
      </c>
      <c r="F147" t="str">
        <f>"romaanid; proosa"</f>
        <v>romaanid; proosa</v>
      </c>
      <c r="G147" t="str">
        <f>"  täiskasvanud"</f>
        <v xml:space="preserve">  täiskasvanud</v>
      </c>
      <c r="H147" t="str">
        <f>"1932"</f>
        <v>1932</v>
      </c>
      <c r="I147" t="str">
        <f>"Tapani Löfvingi seiklused Põhjasõja ajal"</f>
        <v>Tapani Löfvingi seiklused Põhjasõja ajal</v>
      </c>
      <c r="J147" t="str">
        <f>"Rahkama, A."</f>
        <v>Rahkama, A.</v>
      </c>
      <c r="K147" t="str">
        <f>"Loodus, Tartu"</f>
        <v>Loodus, Tartu</v>
      </c>
      <c r="L147" t="str">
        <f>""</f>
        <v/>
      </c>
      <c r="M147" t="str">
        <f>""</f>
        <v/>
      </c>
    </row>
    <row r="148" spans="1:13" ht="15">
      <c r="A148" t="s">
        <v>6</v>
      </c>
      <c r="B148" t="str">
        <f>"19013"</f>
        <v>19013</v>
      </c>
      <c r="C148" t="str">
        <f>"1928"</f>
        <v>1928</v>
      </c>
      <c r="D148" t="str">
        <f>"Aatamin puvussa ja vähän Eevankin"</f>
        <v>Aatamin puvussa ja vähän Eevankin</v>
      </c>
      <c r="E148" t="str">
        <f t="shared" si="12"/>
        <v>viro</v>
      </c>
      <c r="F148" t="str">
        <f>"romaanid; proosa"</f>
        <v>romaanid; proosa</v>
      </c>
      <c r="G148" t="str">
        <f>"  täiskasvanud"</f>
        <v xml:space="preserve">  täiskasvanud</v>
      </c>
      <c r="H148" t="str">
        <f>"1933"</f>
        <v>1933</v>
      </c>
      <c r="I148" t="str">
        <f>"Aadama ülikonnas ja pisut Eewastki"</f>
        <v>Aadama ülikonnas ja pisut Eewastki</v>
      </c>
      <c r="J148" t="str">
        <f>""</f>
        <v/>
      </c>
      <c r="K148" t="str">
        <f>"Vaba Maa, Tallinn"</f>
        <v>Vaba Maa, Tallinn</v>
      </c>
      <c r="L148" t="str">
        <f>""</f>
        <v/>
      </c>
      <c r="M148" t="str">
        <f>""</f>
        <v/>
      </c>
    </row>
    <row r="149" spans="1:13" ht="15">
      <c r="A149" t="s">
        <v>14</v>
      </c>
      <c r="B149" t="str">
        <f>"6588"</f>
        <v>6588</v>
      </c>
      <c r="C149" t="str">
        <f>"1899"</f>
        <v>1899</v>
      </c>
      <c r="D149" t="str">
        <f>"Syteen taikka saveen : huvinäytelmä 1:ssä näytöksessä"</f>
        <v>Syteen taikka saveen : huvinäytelmä 1:ssä näytöksessä</v>
      </c>
      <c r="E149" t="str">
        <f t="shared" si="12"/>
        <v>viro</v>
      </c>
      <c r="F149" t="str">
        <f>"näidendid; draama"</f>
        <v>näidendid; draama</v>
      </c>
      <c r="G149" t="str">
        <f>"  täiskasvanud"</f>
        <v xml:space="preserve">  täiskasvanud</v>
      </c>
      <c r="H149" t="str">
        <f>"1933"</f>
        <v>1933</v>
      </c>
      <c r="I149" t="str">
        <f>"Saagu, mis saab!"</f>
        <v>Saagu, mis saab!</v>
      </c>
      <c r="J149" t="str">
        <f>"Meikop, A."</f>
        <v>Meikop, A.</v>
      </c>
      <c r="K149" t="str">
        <f>"Ülemaaline Eesti Noorsoo Ühendus, Tallinn"</f>
        <v>Ülemaaline Eesti Noorsoo Ühendus, Tallinn</v>
      </c>
      <c r="L149" t="str">
        <f>""</f>
        <v/>
      </c>
      <c r="M149" t="str">
        <f>""</f>
        <v/>
      </c>
    </row>
    <row r="150" spans="1:13" ht="15">
      <c r="A150" t="s">
        <v>103</v>
      </c>
      <c r="B150" t="str">
        <f>"6618"</f>
        <v>6618</v>
      </c>
      <c r="C150" t="str">
        <f>"1923"</f>
        <v>1923</v>
      </c>
      <c r="D150" t="str">
        <f>"Kiveliön kuningas"</f>
        <v>Kiveliön kuningas</v>
      </c>
      <c r="E150" t="str">
        <f t="shared" si="12"/>
        <v>viro</v>
      </c>
      <c r="F150" t="str">
        <f>"romaanid; proosa"</f>
        <v>romaanid; proosa</v>
      </c>
      <c r="G150" t="str">
        <f>" lapsed ja noored"</f>
        <v xml:space="preserve"> lapsed ja noored</v>
      </c>
      <c r="H150" t="str">
        <f>"1933"</f>
        <v>1933</v>
      </c>
      <c r="I150" t="str">
        <f>"Laane kuningas"</f>
        <v>Laane kuningas</v>
      </c>
      <c r="J150" t="str">
        <f>"Rahkama, A."</f>
        <v>Rahkama, A.</v>
      </c>
      <c r="K150" t="str">
        <f>"Loodus, Tartu"</f>
        <v>Loodus, Tartu</v>
      </c>
      <c r="L150" t="str">
        <f>""</f>
        <v/>
      </c>
      <c r="M150" t="str">
        <f>""</f>
        <v/>
      </c>
    </row>
    <row r="151" spans="1:13" ht="15">
      <c r="A151" t="s">
        <v>477</v>
      </c>
      <c r="B151" t="str">
        <f>"19013"</f>
        <v>19013</v>
      </c>
      <c r="C151" t="str">
        <f>"1928"</f>
        <v>1928</v>
      </c>
      <c r="D151" t="str">
        <f>"Aatamin puvussa ja vähän Eevankin"</f>
        <v>Aatamin puvussa ja vähän Eevankin</v>
      </c>
      <c r="E151" t="str">
        <f t="shared" si="12"/>
        <v>viro</v>
      </c>
      <c r="F151" t="str">
        <f>"romaanid; proosa"</f>
        <v>romaanid; proosa</v>
      </c>
      <c r="G151" t="str">
        <f>"  täiskasvanud"</f>
        <v xml:space="preserve">  täiskasvanud</v>
      </c>
      <c r="H151" t="str">
        <f>"1933"</f>
        <v>1933</v>
      </c>
      <c r="I151" t="str">
        <f>"Aadama ülikonnas ja pisut Eewastki"</f>
        <v>Aadama ülikonnas ja pisut Eewastki</v>
      </c>
      <c r="J151" t="str">
        <f>""</f>
        <v/>
      </c>
      <c r="K151" t="str">
        <f>"Vaba Maa, Tallinn"</f>
        <v>Vaba Maa, Tallinn</v>
      </c>
      <c r="L151" t="str">
        <f>""</f>
        <v/>
      </c>
      <c r="M151" t="str">
        <f>""</f>
        <v/>
      </c>
    </row>
    <row r="152" spans="2:13" ht="15">
      <c r="B152" t="str">
        <f>"6805"</f>
        <v>6805</v>
      </c>
      <c r="C152" t="str">
        <f>""</f>
        <v/>
      </c>
      <c r="D152" t="str">
        <f>""</f>
        <v/>
      </c>
      <c r="E152" t="str">
        <f t="shared" si="12"/>
        <v>viro</v>
      </c>
      <c r="F152" t="str">
        <f>"luule, lüürika"</f>
        <v>luule, lüürika</v>
      </c>
      <c r="G152" t="str">
        <f>"  täiskasvanud"</f>
        <v xml:space="preserve">  täiskasvanud</v>
      </c>
      <c r="H152" t="str">
        <f aca="true" t="shared" si="13" ref="H152:H158">"1934"</f>
        <v>1934</v>
      </c>
      <c r="I152" t="str">
        <f>"Soome laule ja ballaade"</f>
        <v>Soome laule ja ballaade</v>
      </c>
      <c r="J152" t="str">
        <f>"Anni, August, Oras, Ants, Raud, M., Suits, Gustav"</f>
        <v>Anni, August, Oras, Ants, Raud, M., Suits, Gustav</v>
      </c>
      <c r="K152" t="str">
        <f>"Eesti Kirjanduse Selts, Tartu"</f>
        <v>Eesti Kirjanduse Selts, Tartu</v>
      </c>
      <c r="L152" t="str">
        <f>""</f>
        <v/>
      </c>
      <c r="M152" t="str">
        <f>""</f>
        <v/>
      </c>
    </row>
    <row r="153" spans="1:13" ht="15">
      <c r="A153" t="s">
        <v>9</v>
      </c>
      <c r="B153" t="str">
        <f>"10286"</f>
        <v>10286</v>
      </c>
      <c r="C153" t="str">
        <f>"1920"</f>
        <v>1920</v>
      </c>
      <c r="D153" t="str">
        <f>"Muistatko? : kukkia keväiseltä niityltä"</f>
        <v>Muistatko? : kukkia keväiseltä niityltä</v>
      </c>
      <c r="E153" t="str">
        <f t="shared" si="12"/>
        <v>viro</v>
      </c>
      <c r="F153" t="str">
        <f>"romaanid; proosa"</f>
        <v>romaanid; proosa</v>
      </c>
      <c r="G153" t="str">
        <f>"  täiskasvanud"</f>
        <v xml:space="preserve">  täiskasvanud</v>
      </c>
      <c r="H153" t="str">
        <f t="shared" si="13"/>
        <v>1934</v>
      </c>
      <c r="I153" t="str">
        <f>"Kas mäletad - ? : lilli kevadiselt niidult"</f>
        <v>Kas mäletad - ? : lilli kevadiselt niidult</v>
      </c>
      <c r="J153" t="str">
        <f>"Palm, August"</f>
        <v>Palm, August</v>
      </c>
      <c r="K153" t="str">
        <f>"Eesti Kirjanduse Selts, Tartu"</f>
        <v>Eesti Kirjanduse Selts, Tartu</v>
      </c>
      <c r="L153" t="str">
        <f>"2. p."</f>
        <v>2. p.</v>
      </c>
      <c r="M153" t="str">
        <f>""</f>
        <v/>
      </c>
    </row>
    <row r="154" spans="1:13" ht="15">
      <c r="A154" t="s">
        <v>113</v>
      </c>
      <c r="B154" t="str">
        <f>"6620"</f>
        <v>6620</v>
      </c>
      <c r="C154" t="str">
        <f>"1911"</f>
        <v>1911</v>
      </c>
      <c r="D154" t="str">
        <f>"Viipurin pamaus"</f>
        <v>Viipurin pamaus</v>
      </c>
      <c r="E154" t="str">
        <f t="shared" si="12"/>
        <v>viro</v>
      </c>
      <c r="F154" t="str">
        <f>"romaanid; proosa"</f>
        <v>romaanid; proosa</v>
      </c>
      <c r="G154" t="str">
        <f>"  täiskasvanud"</f>
        <v xml:space="preserve">  täiskasvanud</v>
      </c>
      <c r="H154" t="str">
        <f t="shared" si="13"/>
        <v>1934</v>
      </c>
      <c r="I154" t="str">
        <f>"Viiburi plahvatus"</f>
        <v>Viiburi plahvatus</v>
      </c>
      <c r="J154" t="str">
        <f>"Murd, E."</f>
        <v>Murd, E.</v>
      </c>
      <c r="K154" t="str">
        <f>"Loodus, Tartu"</f>
        <v>Loodus, Tartu</v>
      </c>
      <c r="L154" t="str">
        <f>""</f>
        <v/>
      </c>
      <c r="M154" t="str">
        <f>""</f>
        <v/>
      </c>
    </row>
    <row r="155" spans="1:13" ht="15">
      <c r="A155" t="s">
        <v>185</v>
      </c>
      <c r="B155" t="str">
        <f>"9770"</f>
        <v>9770</v>
      </c>
      <c r="C155" t="str">
        <f>"1864"</f>
        <v>1864</v>
      </c>
      <c r="D155" t="str">
        <f>"Nummisuutarit : komedia 5:ssä näytöksessä"</f>
        <v>Nummisuutarit : komedia 5:ssä näytöksessä</v>
      </c>
      <c r="E155" t="str">
        <f t="shared" si="12"/>
        <v>viro</v>
      </c>
      <c r="F155" t="str">
        <f>"näidendid; draama"</f>
        <v>näidendid; draama</v>
      </c>
      <c r="G155" t="str">
        <f>"  täiskasvanud"</f>
        <v xml:space="preserve">  täiskasvanud</v>
      </c>
      <c r="H155" t="str">
        <f t="shared" si="13"/>
        <v>1934</v>
      </c>
      <c r="I155" t="str">
        <f>"Nõmmekingsepad"</f>
        <v>Nõmmekingsepad</v>
      </c>
      <c r="J155" t="str">
        <f>"Tuglas, Friedebert"</f>
        <v>Tuglas, Friedebert</v>
      </c>
      <c r="K155" t="str">
        <f>"Eesti Kirjanduse Seltsi Kirjastus, Tartu"</f>
        <v>Eesti Kirjanduse Seltsi Kirjastus, Tartu</v>
      </c>
      <c r="L155" t="str">
        <f>""</f>
        <v/>
      </c>
      <c r="M155" t="str">
        <f>""</f>
        <v/>
      </c>
    </row>
    <row r="156" spans="1:13" ht="15">
      <c r="A156" t="s">
        <v>289</v>
      </c>
      <c r="B156" t="str">
        <f>"6700"</f>
        <v>6700</v>
      </c>
      <c r="C156" t="str">
        <f>""</f>
        <v/>
      </c>
      <c r="D156" t="str">
        <f>"Kun hyena nauroi"</f>
        <v>Kun hyena nauroi</v>
      </c>
      <c r="E156" t="str">
        <f t="shared" si="12"/>
        <v>viro</v>
      </c>
      <c r="F156" t="str">
        <f>"muinasjutud; ; proosa"</f>
        <v>muinasjutud; ; proosa</v>
      </c>
      <c r="G156" t="str">
        <f>" lapsed ja noored"</f>
        <v xml:space="preserve"> lapsed ja noored</v>
      </c>
      <c r="H156" t="str">
        <f t="shared" si="13"/>
        <v>1934</v>
      </c>
      <c r="I156" t="str">
        <f>"Kui hüään naeris"</f>
        <v>Kui hüään naeris</v>
      </c>
      <c r="J156" t="str">
        <f>""</f>
        <v/>
      </c>
      <c r="K156" t="str">
        <f>"Pääsuke, Tallinn"</f>
        <v>Pääsuke, Tallinn</v>
      </c>
      <c r="L156" t="str">
        <f>""</f>
        <v/>
      </c>
      <c r="M156" t="str">
        <f>""</f>
        <v/>
      </c>
    </row>
    <row r="157" spans="1:13" ht="15">
      <c r="A157" t="s">
        <v>482</v>
      </c>
      <c r="B157" t="str">
        <f>"10293"</f>
        <v>10293</v>
      </c>
      <c r="C157" t="str">
        <f>"1932"</f>
        <v>1932</v>
      </c>
      <c r="D157" t="str">
        <f>"Kohti päivän nousua"</f>
        <v>Kohti päivän nousua</v>
      </c>
      <c r="E157" t="str">
        <f t="shared" si="12"/>
        <v>viro</v>
      </c>
      <c r="F157" t="str">
        <f>"romaanid; proosa"</f>
        <v>romaanid; proosa</v>
      </c>
      <c r="G157" t="str">
        <f>"  täiskasvanud"</f>
        <v xml:space="preserve">  täiskasvanud</v>
      </c>
      <c r="H157" t="str">
        <f t="shared" si="13"/>
        <v>1934</v>
      </c>
      <c r="I157" t="str">
        <f>"Päikese tõusu poole"</f>
        <v>Päikese tõusu poole</v>
      </c>
      <c r="J157" t="str">
        <f>"Tuglas, Friedebert"</f>
        <v>Tuglas, Friedebert</v>
      </c>
      <c r="K157" t="str">
        <f>"Noor-Eesti Kirjastus, Tartu"</f>
        <v>Noor-Eesti Kirjastus, Tartu</v>
      </c>
      <c r="L157" t="str">
        <f>""</f>
        <v/>
      </c>
      <c r="M157" t="str">
        <f>""</f>
        <v/>
      </c>
    </row>
    <row r="158" spans="1:13" ht="15">
      <c r="A158" t="s">
        <v>487</v>
      </c>
      <c r="B158" t="str">
        <f>"6751"</f>
        <v>6751</v>
      </c>
      <c r="C158" t="str">
        <f>"1914"</f>
        <v>1914</v>
      </c>
      <c r="D158" t="str">
        <f>"Tottisalmen perillinen"</f>
        <v>Tottisalmen perillinen</v>
      </c>
      <c r="E158" t="str">
        <f t="shared" si="12"/>
        <v>viro</v>
      </c>
      <c r="F158" t="str">
        <f>"romaanid; proosa"</f>
        <v>romaanid; proosa</v>
      </c>
      <c r="G158" t="str">
        <f>" lapsed ja noored"</f>
        <v xml:space="preserve"> lapsed ja noored</v>
      </c>
      <c r="H158" t="str">
        <f t="shared" si="13"/>
        <v>1934</v>
      </c>
      <c r="I158" t="str">
        <f>"Tottisalme pärija"</f>
        <v>Tottisalme pärija</v>
      </c>
      <c r="J158" t="str">
        <f>"Tann, N."</f>
        <v>Tann, N.</v>
      </c>
      <c r="K158" t="str">
        <f>"Noor-Eesti Kirjastus, Tartu"</f>
        <v>Noor-Eesti Kirjastus, Tartu</v>
      </c>
      <c r="L158" t="str">
        <f>""</f>
        <v/>
      </c>
      <c r="M158" t="str">
        <f>""</f>
        <v/>
      </c>
    </row>
    <row r="159" spans="1:13" ht="15">
      <c r="A159" t="s">
        <v>147</v>
      </c>
      <c r="B159" t="str">
        <f>"6637"</f>
        <v>6637</v>
      </c>
      <c r="C159" t="str">
        <f>"1935"</f>
        <v>1935</v>
      </c>
      <c r="D159" t="str">
        <f>"Mare ja hänen poikansa : kolminäytöksinen näytelmä : (neljä kuvaelmaa)"</f>
        <v>Mare ja hänen poikansa : kolminäytöksinen näytelmä : (neljä kuvaelmaa)</v>
      </c>
      <c r="E159" t="str">
        <f t="shared" si="12"/>
        <v>viro</v>
      </c>
      <c r="F159" t="str">
        <f>"näidendid; draama"</f>
        <v>näidendid; draama</v>
      </c>
      <c r="G159" t="str">
        <f>"  täiskasvanud"</f>
        <v xml:space="preserve">  täiskasvanud</v>
      </c>
      <c r="H159" t="str">
        <f>"1935"</f>
        <v>1935</v>
      </c>
      <c r="I159" t="str">
        <f>"Mare ja ta poeg"</f>
        <v>Mare ja ta poeg</v>
      </c>
      <c r="J159" t="str">
        <f>""</f>
        <v/>
      </c>
      <c r="K159" t="str">
        <f>"Eesti Kirjanduse Selts, Tartu"</f>
        <v>Eesti Kirjanduse Selts, Tartu</v>
      </c>
      <c r="L159" t="str">
        <f>""</f>
        <v/>
      </c>
      <c r="M159" t="str">
        <f>""</f>
        <v/>
      </c>
    </row>
    <row r="160" spans="1:13" ht="15">
      <c r="A160" t="s">
        <v>185</v>
      </c>
      <c r="B160" t="str">
        <f>"9784"</f>
        <v>9784</v>
      </c>
      <c r="C160" t="str">
        <f>"1870"</f>
        <v>1870</v>
      </c>
      <c r="D160" t="str">
        <f>"Seitsemän veljestä"</f>
        <v>Seitsemän veljestä</v>
      </c>
      <c r="E160" t="str">
        <f t="shared" si="12"/>
        <v>viro</v>
      </c>
      <c r="F160" t="str">
        <f>"romaanid; proosa"</f>
        <v>romaanid; proosa</v>
      </c>
      <c r="G160" t="str">
        <f>"  täiskasvanud"</f>
        <v xml:space="preserve">  täiskasvanud</v>
      </c>
      <c r="H160" t="str">
        <f>"1935"</f>
        <v>1935</v>
      </c>
      <c r="I160" t="str">
        <f>"Seitse wenda"</f>
        <v>Seitse wenda</v>
      </c>
      <c r="J160" t="str">
        <f>"Tuglas, Friedebert"</f>
        <v>Tuglas, Friedebert</v>
      </c>
      <c r="K160" t="str">
        <f>"Eesti Kirjanduse Selts, Tartu"</f>
        <v>Eesti Kirjanduse Selts, Tartu</v>
      </c>
      <c r="L160" t="str">
        <f>"2. p."</f>
        <v>2. p.</v>
      </c>
      <c r="M160" t="str">
        <f>""</f>
        <v/>
      </c>
    </row>
    <row r="161" spans="1:13" ht="15">
      <c r="A161" t="s">
        <v>126</v>
      </c>
      <c r="B161" t="str">
        <f>"6625"</f>
        <v>6625</v>
      </c>
      <c r="C161" t="str">
        <f>"1914"</f>
        <v>1914</v>
      </c>
      <c r="D161" t="str">
        <f>"Miehen kylkiluu : kolminäytöksinen huvinäytelmä"</f>
        <v>Miehen kylkiluu : kolminäytöksinen huvinäytelmä</v>
      </c>
      <c r="E161" t="str">
        <f t="shared" si="12"/>
        <v>viro</v>
      </c>
      <c r="F161" t="str">
        <f>"näidendid; draama"</f>
        <v>näidendid; draama</v>
      </c>
      <c r="G161" t="str">
        <f>"  täiskasvanud"</f>
        <v xml:space="preserve">  täiskasvanud</v>
      </c>
      <c r="H161" t="str">
        <f aca="true" t="shared" si="14" ref="H161:H169">"1936"</f>
        <v>1936</v>
      </c>
      <c r="I161" t="str">
        <f>"Mehe küljeluu"</f>
        <v>Mehe küljeluu</v>
      </c>
      <c r="J161" t="str">
        <f>"Metsart, Vello"</f>
        <v>Metsart, Vello</v>
      </c>
      <c r="K161" t="str">
        <f>"Autorikaitse Ühing, Tallinn"</f>
        <v>Autorikaitse Ühing, Tallinn</v>
      </c>
      <c r="L161" t="str">
        <f>""</f>
        <v/>
      </c>
      <c r="M161" t="str">
        <f>""</f>
        <v/>
      </c>
    </row>
    <row r="162" spans="1:13" ht="15">
      <c r="A162" t="s">
        <v>147</v>
      </c>
      <c r="B162" t="str">
        <f>"6885"</f>
        <v>6885</v>
      </c>
      <c r="C162" t="str">
        <f>"1913"</f>
        <v>1913</v>
      </c>
      <c r="D162" t="str">
        <f>"Bernhard Riives"</f>
        <v>Bernhard Riives</v>
      </c>
      <c r="E162" t="str">
        <f t="shared" si="12"/>
        <v>viro</v>
      </c>
      <c r="F162" t="str">
        <f>"näidendid; draama"</f>
        <v>näidendid; draama</v>
      </c>
      <c r="G162" t="str">
        <f>"  täiskasvanud"</f>
        <v xml:space="preserve">  täiskasvanud</v>
      </c>
      <c r="H162" t="str">
        <f t="shared" si="14"/>
        <v>1936</v>
      </c>
      <c r="I162" t="str">
        <f>"Bernhard Riives"</f>
        <v>Bernhard Riives</v>
      </c>
      <c r="J162" t="str">
        <f>""</f>
        <v/>
      </c>
      <c r="K162" t="str">
        <f>"Eesti Haridusliit, Tallinn"</f>
        <v>Eesti Haridusliit, Tallinn</v>
      </c>
      <c r="L162" t="str">
        <f>""</f>
        <v/>
      </c>
      <c r="M162" t="str">
        <f>""</f>
        <v/>
      </c>
    </row>
    <row r="163" spans="1:13" ht="15">
      <c r="A163" t="s">
        <v>174</v>
      </c>
      <c r="B163" t="str">
        <f>"6654"</f>
        <v>6654</v>
      </c>
      <c r="C163" t="str">
        <f>"1909"</f>
        <v>1909</v>
      </c>
      <c r="D163" t="str">
        <f>"Punainen viiva"</f>
        <v>Punainen viiva</v>
      </c>
      <c r="E163" t="str">
        <f t="shared" si="12"/>
        <v>viro</v>
      </c>
      <c r="F163" t="str">
        <f>"romaanid; proosa"</f>
        <v>romaanid; proosa</v>
      </c>
      <c r="G163" t="str">
        <f>"  täiskasvanud"</f>
        <v xml:space="preserve">  täiskasvanud</v>
      </c>
      <c r="H163" t="str">
        <f t="shared" si="14"/>
        <v>1936</v>
      </c>
      <c r="I163" t="str">
        <f>"Punane joon"</f>
        <v>Punane joon</v>
      </c>
      <c r="J163" t="str">
        <f>"Virgo, Eduard"</f>
        <v>Virgo, Eduard</v>
      </c>
      <c r="K163" t="str">
        <f>"Eesti Kirjastuse Kooperatiiv, Tartu"</f>
        <v>Eesti Kirjastuse Kooperatiiv, Tartu</v>
      </c>
      <c r="L163" t="str">
        <f>""</f>
        <v/>
      </c>
      <c r="M163" t="str">
        <f>""</f>
        <v/>
      </c>
    </row>
    <row r="164" spans="1:13" ht="15">
      <c r="A164" t="s">
        <v>174</v>
      </c>
      <c r="B164" t="str">
        <f>"6655"</f>
        <v>6655</v>
      </c>
      <c r="C164" t="str">
        <f>"1924"</f>
        <v>1924</v>
      </c>
      <c r="D164" t="str">
        <f>"Ryysyrannan Jooseppi : köyhälistötarina Suomesta"</f>
        <v>Ryysyrannan Jooseppi : köyhälistötarina Suomesta</v>
      </c>
      <c r="E164" t="str">
        <f t="shared" si="12"/>
        <v>viro</v>
      </c>
      <c r="F164" t="str">
        <f>"romaanid; proosa"</f>
        <v>romaanid; proosa</v>
      </c>
      <c r="G164" t="str">
        <f>"  täiskasvanud"</f>
        <v xml:space="preserve">  täiskasvanud</v>
      </c>
      <c r="H164" t="str">
        <f t="shared" si="14"/>
        <v>1936</v>
      </c>
      <c r="I164" t="str">
        <f>"Räbalaranna Jooseppi"</f>
        <v>Räbalaranna Jooseppi</v>
      </c>
      <c r="J164" t="str">
        <f>"Holberg, Selma"</f>
        <v>Holberg, Selma</v>
      </c>
      <c r="K164" t="str">
        <f>"Noor-Eesti Kirjastus, Tartu"</f>
        <v>Noor-Eesti Kirjastus, Tartu</v>
      </c>
      <c r="L164" t="str">
        <f>""</f>
        <v/>
      </c>
      <c r="M164" t="str">
        <f>""</f>
        <v/>
      </c>
    </row>
    <row r="165" spans="1:13" ht="15">
      <c r="A165" t="s">
        <v>466</v>
      </c>
      <c r="B165" t="str">
        <f>"6736"</f>
        <v>6736</v>
      </c>
      <c r="C165" t="str">
        <f>"1934"</f>
        <v>1934</v>
      </c>
      <c r="D165" t="str">
        <f>"Ihmiset suviyössä : eepillinen sarja"</f>
        <v>Ihmiset suviyössä : eepillinen sarja</v>
      </c>
      <c r="E165" t="str">
        <f t="shared" si="12"/>
        <v>viro</v>
      </c>
      <c r="F165" t="str">
        <f>"romaanid; proosa"</f>
        <v>romaanid; proosa</v>
      </c>
      <c r="G165" t="str">
        <f>"  täiskasvanud"</f>
        <v xml:space="preserve">  täiskasvanud</v>
      </c>
      <c r="H165" t="str">
        <f t="shared" si="14"/>
        <v>1936</v>
      </c>
      <c r="I165" t="str">
        <f>"Inimesed suveöös"</f>
        <v>Inimesed suveöös</v>
      </c>
      <c r="J165" t="str">
        <f>"Lepik, Mart"</f>
        <v>Lepik, Mart</v>
      </c>
      <c r="K165" t="str">
        <f>"Eesti Kirjastuse Kooperatiiv, Tartu"</f>
        <v>Eesti Kirjastuse Kooperatiiv, Tartu</v>
      </c>
      <c r="L165" t="str">
        <f>""</f>
        <v/>
      </c>
      <c r="M165" t="str">
        <f>""</f>
        <v/>
      </c>
    </row>
    <row r="166" spans="1:13" ht="15">
      <c r="A166" t="s">
        <v>519</v>
      </c>
      <c r="B166" t="str">
        <f>"16388"</f>
        <v>16388</v>
      </c>
      <c r="C166" t="str">
        <f>""</f>
        <v/>
      </c>
      <c r="D166" t="str">
        <f>"Hur järnvägen fick sjumilsstövlar"</f>
        <v>Hur järnvägen fick sjumilsstövlar</v>
      </c>
      <c r="E166" t="str">
        <f t="shared" si="12"/>
        <v>viro</v>
      </c>
      <c r="F166" t="str">
        <f>"muinasjutud; proosa"</f>
        <v>muinasjutud; proosa</v>
      </c>
      <c r="G166" t="str">
        <f>" lapsed ja noored"</f>
        <v xml:space="preserve"> lapsed ja noored</v>
      </c>
      <c r="H166" t="str">
        <f t="shared" si="14"/>
        <v>1936</v>
      </c>
      <c r="I166" t="str">
        <f>"Kuidas raudtee sai seitsmemiili saapad"</f>
        <v>Kuidas raudtee sai seitsmemiili saapad</v>
      </c>
      <c r="J166" t="str">
        <f>"Tasa, Edur"</f>
        <v>Tasa, Edur</v>
      </c>
      <c r="K166" t="str">
        <f>"Koolivara, Tartu"</f>
        <v>Koolivara, Tartu</v>
      </c>
      <c r="L166" t="str">
        <f>""</f>
        <v/>
      </c>
      <c r="M166" t="str">
        <f>""</f>
        <v/>
      </c>
    </row>
    <row r="167" spans="1:13" ht="15">
      <c r="A167" t="s">
        <v>521</v>
      </c>
      <c r="B167" t="str">
        <f>"6764"</f>
        <v>6764</v>
      </c>
      <c r="C167" t="str">
        <f>"1935"</f>
        <v>1935</v>
      </c>
      <c r="D167" t="str">
        <f>"Kulkurivalssi : 1-näyt. hämäläisnäytelmä"</f>
        <v>Kulkurivalssi : 1-näyt. hämäläisnäytelmä</v>
      </c>
      <c r="E167" t="str">
        <f t="shared" si="12"/>
        <v>viro</v>
      </c>
      <c r="F167" t="str">
        <f>"näidendid; draama"</f>
        <v>näidendid; draama</v>
      </c>
      <c r="G167" t="str">
        <f>"  täiskasvanud"</f>
        <v xml:space="preserve">  täiskasvanud</v>
      </c>
      <c r="H167" t="str">
        <f t="shared" si="14"/>
        <v>1936</v>
      </c>
      <c r="I167" t="str">
        <f>"Hulkurivalss"</f>
        <v>Hulkurivalss</v>
      </c>
      <c r="J167" t="str">
        <f>"Murrik, Niina"</f>
        <v>Murrik, Niina</v>
      </c>
      <c r="K167" t="str">
        <f>"Eesti Haridusliit, Tallinn"</f>
        <v>Eesti Haridusliit, Tallinn</v>
      </c>
      <c r="L167" t="str">
        <f>""</f>
        <v/>
      </c>
      <c r="M167" t="str">
        <f>""</f>
        <v/>
      </c>
    </row>
    <row r="168" spans="1:13" ht="15">
      <c r="A168" t="s">
        <v>569</v>
      </c>
      <c r="B168" t="str">
        <f>"14985"</f>
        <v>14985</v>
      </c>
      <c r="C168" t="str">
        <f>"1935"</f>
        <v>1935</v>
      </c>
      <c r="D168" t="str">
        <f>"Kulkurivalssi : 1-näytöksinen hämäläisnäytelmä"</f>
        <v>Kulkurivalssi : 1-näytöksinen hämäläisnäytelmä</v>
      </c>
      <c r="E168" t="str">
        <f t="shared" si="12"/>
        <v>viro</v>
      </c>
      <c r="F168" t="str">
        <f>"näidendid; draama"</f>
        <v>näidendid; draama</v>
      </c>
      <c r="G168" t="str">
        <f>"  täiskasvanud"</f>
        <v xml:space="preserve">  täiskasvanud</v>
      </c>
      <c r="H168" t="str">
        <f t="shared" si="14"/>
        <v>1936</v>
      </c>
      <c r="I168" t="str">
        <f>"Hulkurivalss"</f>
        <v>Hulkurivalss</v>
      </c>
      <c r="J168" t="str">
        <f>"Murrik, Niina"</f>
        <v>Murrik, Niina</v>
      </c>
      <c r="K168" t="str">
        <f>"Eesti Haridusliit, Tallinn"</f>
        <v>Eesti Haridusliit, Tallinn</v>
      </c>
      <c r="L168" t="str">
        <f>""</f>
        <v/>
      </c>
      <c r="M168" t="str">
        <f>""</f>
        <v/>
      </c>
    </row>
    <row r="169" spans="1:13" ht="15">
      <c r="A169" t="s">
        <v>569</v>
      </c>
      <c r="B169" t="str">
        <f>"6759"</f>
        <v>6759</v>
      </c>
      <c r="C169" t="str">
        <f>"1936"</f>
        <v>1936</v>
      </c>
      <c r="D169" t="str">
        <f>"Niskavuoren naiset : näytelmä : prologi ja 3 näytöstä"</f>
        <v>Niskavuoren naiset : näytelmä : prologi ja 3 näytöstä</v>
      </c>
      <c r="E169" t="str">
        <f t="shared" si="12"/>
        <v>viro</v>
      </c>
      <c r="F169" t="str">
        <f>"näidendid; draama"</f>
        <v>näidendid; draama</v>
      </c>
      <c r="G169" t="str">
        <f>"  täiskasvanud"</f>
        <v xml:space="preserve">  täiskasvanud</v>
      </c>
      <c r="H169" t="str">
        <f t="shared" si="14"/>
        <v>1936</v>
      </c>
      <c r="I169" t="str">
        <f>"Niskamäe naised"</f>
        <v>Niskamäe naised</v>
      </c>
      <c r="J169" t="str">
        <f>"Murrik, Niina"</f>
        <v>Murrik, Niina</v>
      </c>
      <c r="K169" t="str">
        <f>"Vanemuine, Tartu"</f>
        <v>Vanemuine, Tartu</v>
      </c>
      <c r="L169" t="str">
        <f>""</f>
        <v/>
      </c>
      <c r="M169" t="str">
        <f>""</f>
        <v/>
      </c>
    </row>
    <row r="170" spans="2:13" ht="15">
      <c r="B170" t="str">
        <f>"6842"</f>
        <v>6842</v>
      </c>
      <c r="C170" t="str">
        <f>""</f>
        <v/>
      </c>
      <c r="D170" t="str">
        <f>""</f>
        <v/>
      </c>
      <c r="E170" t="str">
        <f t="shared" si="12"/>
        <v>viro</v>
      </c>
      <c r="F170" t="str">
        <f>"proosa; lyriikka"</f>
        <v>proosa; lyriikka</v>
      </c>
      <c r="G170" t="str">
        <f>"  täiskasvanud"</f>
        <v xml:space="preserve">  täiskasvanud</v>
      </c>
      <c r="H170" t="str">
        <f aca="true" t="shared" si="15" ref="H170:H175">"1937"</f>
        <v>1937</v>
      </c>
      <c r="I170" t="str">
        <f>"Valimik soome kirjandust"</f>
        <v>Valimik soome kirjandust</v>
      </c>
      <c r="J170" t="str">
        <f>"Aavik, Johannes, Annist, August, Holberg, Selma, Lepik, Harald, Linde, Bernhard"</f>
        <v>Aavik, Johannes, Annist, August, Holberg, Selma, Lepik, Harald, Linde, Bernhard</v>
      </c>
      <c r="K170" t="str">
        <f>"Varak, Tallinn"</f>
        <v>Varak, Tallinn</v>
      </c>
      <c r="L170" t="str">
        <f>""</f>
        <v/>
      </c>
      <c r="M170" t="str">
        <f>""</f>
        <v/>
      </c>
    </row>
    <row r="171" spans="1:13" ht="15">
      <c r="A171" t="s">
        <v>134</v>
      </c>
      <c r="B171" t="str">
        <f>"6632"</f>
        <v>6632</v>
      </c>
      <c r="C171" t="str">
        <f>"1927"</f>
        <v>1927</v>
      </c>
      <c r="D171" t="str">
        <f>"Taivaallinen puuseppä : romaani"</f>
        <v>Taivaallinen puuseppä : romaani</v>
      </c>
      <c r="E171" t="str">
        <f t="shared" si="12"/>
        <v>viro</v>
      </c>
      <c r="F171" t="str">
        <f>"romaanid; proosa"</f>
        <v>romaanid; proosa</v>
      </c>
      <c r="G171" t="str">
        <f>"  täiskasvanud"</f>
        <v xml:space="preserve">  täiskasvanud</v>
      </c>
      <c r="H171" t="str">
        <f t="shared" si="15"/>
        <v>1937</v>
      </c>
      <c r="I171" t="str">
        <f>"Taevane puusepp"</f>
        <v>Taevane puusepp</v>
      </c>
      <c r="J171" t="str">
        <f>"Ränk, Aino"</f>
        <v>Ränk, Aino</v>
      </c>
      <c r="K171" t="str">
        <f>"Loodus, Tartu"</f>
        <v>Loodus, Tartu</v>
      </c>
      <c r="L171" t="str">
        <f>""</f>
        <v/>
      </c>
      <c r="M171" t="str">
        <f>""</f>
        <v/>
      </c>
    </row>
    <row r="172" spans="1:13" ht="15">
      <c r="A172" t="s">
        <v>187</v>
      </c>
      <c r="B172" t="str">
        <f>"6662"</f>
        <v>6662</v>
      </c>
      <c r="C172" t="str">
        <f>""</f>
        <v/>
      </c>
      <c r="D172" t="str">
        <f>"Meren vangit"</f>
        <v>Meren vangit</v>
      </c>
      <c r="E172" t="str">
        <f t="shared" si="12"/>
        <v>viro</v>
      </c>
      <c r="F172" t="str">
        <f>"romaanid; proosa"</f>
        <v>romaanid; proosa</v>
      </c>
      <c r="G172" t="str">
        <f>" lapsed ja noored"</f>
        <v xml:space="preserve"> lapsed ja noored</v>
      </c>
      <c r="H172" t="str">
        <f t="shared" si="15"/>
        <v>1937</v>
      </c>
      <c r="I172" t="str">
        <f>"Mere vangid"</f>
        <v>Mere vangid</v>
      </c>
      <c r="J172" t="str">
        <f>"Ränk, Aino"</f>
        <v>Ränk, Aino</v>
      </c>
      <c r="K172" t="str">
        <f>"Loodus, Tartu"</f>
        <v>Loodus, Tartu</v>
      </c>
      <c r="L172" t="str">
        <f>""</f>
        <v/>
      </c>
      <c r="M172" t="str">
        <f>""</f>
        <v/>
      </c>
    </row>
    <row r="173" spans="1:13" ht="15">
      <c r="A173" t="s">
        <v>466</v>
      </c>
      <c r="B173" t="str">
        <f>"6738"</f>
        <v>6738</v>
      </c>
      <c r="C173" t="str">
        <f>"1932"</f>
        <v>1932</v>
      </c>
      <c r="D173" t="str">
        <f>"Miehen tie : Ahrolan talon oloista Paavon isännyyden vakiintuessa"</f>
        <v>Miehen tie : Ahrolan talon oloista Paavon isännyyden vakiintuessa</v>
      </c>
      <c r="E173" t="str">
        <f t="shared" si="12"/>
        <v>viro</v>
      </c>
      <c r="F173" t="str">
        <f>"romaanid; proosa"</f>
        <v>romaanid; proosa</v>
      </c>
      <c r="G173" t="str">
        <f>"  täiskasvanud"</f>
        <v xml:space="preserve">  täiskasvanud</v>
      </c>
      <c r="H173" t="str">
        <f t="shared" si="15"/>
        <v>1937</v>
      </c>
      <c r="I173" t="str">
        <f>"Mehe tee"</f>
        <v>Mehe tee</v>
      </c>
      <c r="J173" t="str">
        <f>"Lepik, Mart"</f>
        <v>Lepik, Mart</v>
      </c>
      <c r="K173" t="str">
        <f>"Eesti Kirjastuse Kooperatiiv, Tartu"</f>
        <v>Eesti Kirjastuse Kooperatiiv, Tartu</v>
      </c>
      <c r="L173" t="str">
        <f>""</f>
        <v/>
      </c>
      <c r="M173" t="str">
        <f>""</f>
        <v/>
      </c>
    </row>
    <row r="174" spans="1:13" ht="15">
      <c r="A174" t="s">
        <v>493</v>
      </c>
      <c r="B174" t="str">
        <f>"6757"</f>
        <v>6757</v>
      </c>
      <c r="C174" t="str">
        <f>"1919"</f>
        <v>1919</v>
      </c>
      <c r="D174" t="str">
        <f>"Kurjet : romaani"</f>
        <v>Kurjet : romaani</v>
      </c>
      <c r="E174" t="str">
        <f t="shared" si="12"/>
        <v>viro</v>
      </c>
      <c r="F174" t="str">
        <f>"romaanid; proosa"</f>
        <v>romaanid; proosa</v>
      </c>
      <c r="G174" t="str">
        <f>"  täiskasvanud"</f>
        <v xml:space="preserve">  täiskasvanud</v>
      </c>
      <c r="H174" t="str">
        <f t="shared" si="15"/>
        <v>1937</v>
      </c>
      <c r="I174" t="str">
        <f>"Kured"</f>
        <v>Kured</v>
      </c>
      <c r="J174" t="str">
        <f>"Ränk, Aino"</f>
        <v>Ränk, Aino</v>
      </c>
      <c r="K174" t="str">
        <f>"Loodus, Tartu"</f>
        <v>Loodus, Tartu</v>
      </c>
      <c r="L174" t="str">
        <f>""</f>
        <v/>
      </c>
      <c r="M174" t="str">
        <f>""</f>
        <v/>
      </c>
    </row>
    <row r="175" spans="1:13" ht="15">
      <c r="A175" t="s">
        <v>569</v>
      </c>
      <c r="B175" t="str">
        <f>"6789"</f>
        <v>6789</v>
      </c>
      <c r="C175" t="str">
        <f>"1936"</f>
        <v>1936</v>
      </c>
      <c r="D175" t="str">
        <f>"Palava maa"</f>
        <v>Palava maa</v>
      </c>
      <c r="E175" t="str">
        <f t="shared" si="12"/>
        <v>viro</v>
      </c>
      <c r="F175" t="str">
        <f>"näidendid; draama"</f>
        <v>näidendid; draama</v>
      </c>
      <c r="G175" t="str">
        <f>"  täiskasvanud"</f>
        <v xml:space="preserve">  täiskasvanud</v>
      </c>
      <c r="H175" t="str">
        <f t="shared" si="15"/>
        <v>1937</v>
      </c>
      <c r="I175" t="str">
        <f>"Põlev maa"</f>
        <v>Põlev maa</v>
      </c>
      <c r="J175" t="str">
        <f>"Murrik, Niina"</f>
        <v>Murrik, Niina</v>
      </c>
      <c r="K175" t="str">
        <f>"Eesti Haridusliit, Tallinn"</f>
        <v>Eesti Haridusliit, Tallinn</v>
      </c>
      <c r="L175" t="str">
        <f>""</f>
        <v/>
      </c>
      <c r="M175" t="str">
        <f>""</f>
        <v/>
      </c>
    </row>
    <row r="176" spans="1:13" ht="15">
      <c r="A176" t="s">
        <v>147</v>
      </c>
      <c r="B176" t="str">
        <f>"6644"</f>
        <v>6644</v>
      </c>
      <c r="C176" t="str">
        <f>""</f>
        <v/>
      </c>
      <c r="D176" t="str">
        <f>"Barbara von Tisenhusen ; Sudenmorsian"</f>
        <v>Barbara von Tisenhusen ; Sudenmorsian</v>
      </c>
      <c r="E176" t="str">
        <f t="shared" si="12"/>
        <v>viro</v>
      </c>
      <c r="F176" t="str">
        <f>"lühiproosa, proosa"</f>
        <v>lühiproosa, proosa</v>
      </c>
      <c r="G176" t="str">
        <f>"  täiskasvanud"</f>
        <v xml:space="preserve">  täiskasvanud</v>
      </c>
      <c r="H176" t="str">
        <f aca="true" t="shared" si="16" ref="H176:H184">"1938"</f>
        <v>1938</v>
      </c>
      <c r="I176" t="str">
        <f>"Surmav Eros"</f>
        <v>Surmav Eros</v>
      </c>
      <c r="J176" t="str">
        <f>"Tuglas, Friedebert"</f>
        <v>Tuglas, Friedebert</v>
      </c>
      <c r="K176" t="str">
        <f>"Eesti Kirjanduse Selts, Tartu"</f>
        <v>Eesti Kirjanduse Selts, Tartu</v>
      </c>
      <c r="L176" t="str">
        <f>""</f>
        <v/>
      </c>
      <c r="M176" t="str">
        <f>""</f>
        <v/>
      </c>
    </row>
    <row r="177" spans="1:13" ht="15">
      <c r="A177" t="s">
        <v>147</v>
      </c>
      <c r="B177" t="str">
        <f>"10258"</f>
        <v>10258</v>
      </c>
      <c r="C177" t="str">
        <f>"1928"</f>
        <v>1928</v>
      </c>
      <c r="D177" t="str">
        <f>"Sudenmorsian"</f>
        <v>Sudenmorsian</v>
      </c>
      <c r="E177" t="str">
        <f t="shared" si="12"/>
        <v>viro</v>
      </c>
      <c r="F177" t="str">
        <f>"romaanid; proosa"</f>
        <v>romaanid; proosa</v>
      </c>
      <c r="G177" t="str">
        <f>"  täiskasvanud"</f>
        <v xml:space="preserve">  täiskasvanud</v>
      </c>
      <c r="H177" t="str">
        <f t="shared" si="16"/>
        <v>1938</v>
      </c>
      <c r="I177" t="str">
        <f>"Hundimõrsja"</f>
        <v>Hundimõrsja</v>
      </c>
      <c r="J177" t="str">
        <f>""</f>
        <v/>
      </c>
      <c r="K177" t="str">
        <f>"Eesti Kirjanduse Selts, Tartu"</f>
        <v>Eesti Kirjanduse Selts, Tartu</v>
      </c>
      <c r="L177" t="str">
        <f>""</f>
        <v/>
      </c>
      <c r="M177" t="str">
        <f>""</f>
        <v/>
      </c>
    </row>
    <row r="178" spans="1:13" ht="15">
      <c r="A178" t="s">
        <v>541</v>
      </c>
      <c r="B178" t="str">
        <f>"10170"</f>
        <v>10170</v>
      </c>
      <c r="C178" t="str">
        <f>"1930"</f>
        <v>1930</v>
      </c>
      <c r="D178" t="str">
        <f>"Hiiliristi"</f>
        <v>Hiiliristi</v>
      </c>
      <c r="E178" t="str">
        <f t="shared" si="12"/>
        <v>viro</v>
      </c>
      <c r="F178" t="str">
        <f>"romaanid; proosa"</f>
        <v>romaanid; proosa</v>
      </c>
      <c r="G178" t="str">
        <f>"  täiskasvanud"</f>
        <v xml:space="preserve">  täiskasvanud</v>
      </c>
      <c r="H178" t="str">
        <f t="shared" si="16"/>
        <v>1938</v>
      </c>
      <c r="I178" t="str">
        <f>"Söerist"</f>
        <v>Söerist</v>
      </c>
      <c r="J178" t="str">
        <f>"Erm, Voldemar"</f>
        <v>Erm, Voldemar</v>
      </c>
      <c r="K178" t="str">
        <f>"[s.n.], Tartu"</f>
        <v>[s.n.], Tartu</v>
      </c>
      <c r="L178" t="str">
        <f>""</f>
        <v/>
      </c>
      <c r="M178" t="str">
        <f>""</f>
        <v/>
      </c>
    </row>
    <row r="179" spans="1:13" ht="15">
      <c r="A179" t="s">
        <v>541</v>
      </c>
      <c r="B179" t="str">
        <f>"6782"</f>
        <v>6782</v>
      </c>
      <c r="C179" t="str">
        <f>"1937"</f>
        <v>1937</v>
      </c>
      <c r="D179" t="str">
        <f>"Nykyhetken tyttölapsi"</f>
        <v>Nykyhetken tyttölapsi</v>
      </c>
      <c r="E179" t="str">
        <f t="shared" si="12"/>
        <v>viro</v>
      </c>
      <c r="F179" t="str">
        <f>"romaanid; proosa"</f>
        <v>romaanid; proosa</v>
      </c>
      <c r="G179" t="str">
        <f>"  täiskasvanud"</f>
        <v xml:space="preserve">  täiskasvanud</v>
      </c>
      <c r="H179" t="str">
        <f t="shared" si="16"/>
        <v>1938</v>
      </c>
      <c r="I179" t="str">
        <f>"Tänapäeva tütarlaps"</f>
        <v>Tänapäeva tütarlaps</v>
      </c>
      <c r="J179" t="str">
        <f>"Seim, Leena"</f>
        <v>Seim, Leena</v>
      </c>
      <c r="K179" t="str">
        <f>"Turist, Tartu"</f>
        <v>Turist, Tartu</v>
      </c>
      <c r="L179" t="str">
        <f>""</f>
        <v/>
      </c>
      <c r="M179" t="str">
        <f>""</f>
        <v/>
      </c>
    </row>
    <row r="180" spans="1:13" ht="15">
      <c r="A180" t="s">
        <v>541</v>
      </c>
      <c r="B180" t="str">
        <f>"10165"</f>
        <v>10165</v>
      </c>
      <c r="C180" t="str">
        <f>"1933"</f>
        <v>1933</v>
      </c>
      <c r="D180" t="str">
        <f>"Vaimoke"</f>
        <v>Vaimoke</v>
      </c>
      <c r="E180" t="str">
        <f t="shared" si="12"/>
        <v>viro</v>
      </c>
      <c r="F180" t="str">
        <f>"romaanid; proosa"</f>
        <v>romaanid; proosa</v>
      </c>
      <c r="G180" t="str">
        <f>"  täiskasvanud"</f>
        <v xml:space="preserve">  täiskasvanud</v>
      </c>
      <c r="H180" t="str">
        <f t="shared" si="16"/>
        <v>1938</v>
      </c>
      <c r="I180" t="str">
        <f>"Asenaine"</f>
        <v>Asenaine</v>
      </c>
      <c r="J180" t="str">
        <f>"Ränk, Aino"</f>
        <v>Ränk, Aino</v>
      </c>
      <c r="K180" t="str">
        <f>"Loodus, Tartu"</f>
        <v>Loodus, Tartu</v>
      </c>
      <c r="L180" t="str">
        <f>""</f>
        <v/>
      </c>
      <c r="M180" t="str">
        <f>""</f>
        <v/>
      </c>
    </row>
    <row r="181" spans="1:13" ht="15">
      <c r="A181" t="s">
        <v>541</v>
      </c>
      <c r="B181" t="str">
        <f>"6779"</f>
        <v>6779</v>
      </c>
      <c r="C181" t="str">
        <f>"1933"</f>
        <v>1933</v>
      </c>
      <c r="D181" t="str">
        <f>"Vaimoke"</f>
        <v>Vaimoke</v>
      </c>
      <c r="E181" t="str">
        <f t="shared" si="12"/>
        <v>viro</v>
      </c>
      <c r="F181" t="str">
        <f>"romaanid; proosa"</f>
        <v>romaanid; proosa</v>
      </c>
      <c r="G181" t="str">
        <f>"  täiskasvanud"</f>
        <v xml:space="preserve">  täiskasvanud</v>
      </c>
      <c r="H181" t="str">
        <f t="shared" si="16"/>
        <v>1938</v>
      </c>
      <c r="I181" t="str">
        <f>"Asenaine"</f>
        <v>Asenaine</v>
      </c>
      <c r="J181" t="str">
        <f>"Ränk, Aino"</f>
        <v>Ränk, Aino</v>
      </c>
      <c r="K181" t="str">
        <f>"Loodus, Tartu"</f>
        <v>Loodus, Tartu</v>
      </c>
      <c r="L181" t="str">
        <f>""</f>
        <v/>
      </c>
      <c r="M181" t="str">
        <f>""</f>
        <v/>
      </c>
    </row>
    <row r="182" spans="1:13" ht="15">
      <c r="A182" t="s">
        <v>563</v>
      </c>
      <c r="B182" t="str">
        <f>"14972"</f>
        <v>14972</v>
      </c>
      <c r="C182" t="str">
        <f>"1937"</f>
        <v>1937</v>
      </c>
      <c r="D182" t="str">
        <f>"Vieras mies tuli taloon"</f>
        <v>Vieras mies tuli taloon</v>
      </c>
      <c r="E182" t="str">
        <f t="shared" si="12"/>
        <v>viro</v>
      </c>
      <c r="F182" t="str">
        <f>"romaanid; proosa"</f>
        <v>romaanid; proosa</v>
      </c>
      <c r="G182" t="str">
        <f>"  täiskasvanud"</f>
        <v xml:space="preserve">  täiskasvanud</v>
      </c>
      <c r="H182" t="str">
        <f t="shared" si="16"/>
        <v>1938</v>
      </c>
      <c r="I182" t="str">
        <f>"Võõras mees tuli tallu"</f>
        <v>Võõras mees tuli tallu</v>
      </c>
      <c r="J182" t="str">
        <f>"Hanko, August"</f>
        <v>Hanko, August</v>
      </c>
      <c r="K182" t="str">
        <f>"Eesti Kirjastuse Kooperatiiv, Tartu"</f>
        <v>Eesti Kirjastuse Kooperatiiv, Tartu</v>
      </c>
      <c r="L182" t="str">
        <f>""</f>
        <v/>
      </c>
      <c r="M182" t="str">
        <f>""</f>
        <v/>
      </c>
    </row>
    <row r="183" spans="1:13" ht="15">
      <c r="A183" t="s">
        <v>569</v>
      </c>
      <c r="B183" t="str">
        <f>"6786"</f>
        <v>6786</v>
      </c>
      <c r="C183" t="str">
        <f>"1937"</f>
        <v>1937</v>
      </c>
      <c r="D183" t="str">
        <f>"Justiina"</f>
        <v>Justiina</v>
      </c>
      <c r="E183" t="str">
        <f t="shared" si="12"/>
        <v>viro</v>
      </c>
      <c r="F183" t="str">
        <f>"näidendid; draama"</f>
        <v>näidendid; draama</v>
      </c>
      <c r="G183" t="str">
        <f>"  täiskasvanud"</f>
        <v xml:space="preserve">  täiskasvanud</v>
      </c>
      <c r="H183" t="str">
        <f t="shared" si="16"/>
        <v>1938</v>
      </c>
      <c r="I183" t="str">
        <f>"Justiina"</f>
        <v>Justiina</v>
      </c>
      <c r="J183" t="str">
        <f>"Freiberg, Karl"</f>
        <v>Freiberg, Karl</v>
      </c>
      <c r="K183" t="str">
        <f>"Eesti Haridusliit, Tallinn"</f>
        <v>Eesti Haridusliit, Tallinn</v>
      </c>
      <c r="L183" t="str">
        <f>""</f>
        <v/>
      </c>
      <c r="M183" t="str">
        <f>""</f>
        <v/>
      </c>
    </row>
    <row r="184" spans="1:13" ht="15">
      <c r="A184" t="s">
        <v>569</v>
      </c>
      <c r="B184" t="str">
        <f>"6787"</f>
        <v>6787</v>
      </c>
      <c r="C184" t="str">
        <f>"1937"</f>
        <v>1937</v>
      </c>
      <c r="D184" t="str">
        <f>"Juurakon Hulda : 7-kuvaelmainen huvinäytelmä"</f>
        <v>Juurakon Hulda : 7-kuvaelmainen huvinäytelmä</v>
      </c>
      <c r="E184" t="str">
        <f t="shared" si="12"/>
        <v>viro</v>
      </c>
      <c r="F184" t="str">
        <f>"näidendid; draama"</f>
        <v>näidendid; draama</v>
      </c>
      <c r="G184" t="str">
        <f>"  täiskasvanud"</f>
        <v xml:space="preserve">  täiskasvanud</v>
      </c>
      <c r="H184" t="str">
        <f t="shared" si="16"/>
        <v>1938</v>
      </c>
      <c r="I184" t="str">
        <f>"Juuraku Hulda"</f>
        <v>Juuraku Hulda</v>
      </c>
      <c r="J184" t="str">
        <f>""</f>
        <v/>
      </c>
      <c r="K184" t="str">
        <f>"Eesti Haridusliit, Tallinn"</f>
        <v>Eesti Haridusliit, Tallinn</v>
      </c>
      <c r="L184" t="str">
        <f>""</f>
        <v/>
      </c>
      <c r="M184" t="str">
        <f>""</f>
        <v/>
      </c>
    </row>
    <row r="185" spans="1:13" ht="15">
      <c r="A185" t="s">
        <v>292</v>
      </c>
      <c r="B185" t="str">
        <f>"10546"</f>
        <v>10546</v>
      </c>
      <c r="C185" t="str">
        <f>"1849"</f>
        <v>1849</v>
      </c>
      <c r="D185" t="str">
        <f>"Kalevala"</f>
        <v>Kalevala</v>
      </c>
      <c r="E185" t="str">
        <f t="shared" si="12"/>
        <v>viro</v>
      </c>
      <c r="F185" t="str">
        <f>"luule, rahvaluule"</f>
        <v>luule, rahvaluule</v>
      </c>
      <c r="G185" t="str">
        <f>"  täiskasvanud"</f>
        <v xml:space="preserve">  täiskasvanud</v>
      </c>
      <c r="H185" t="str">
        <f aca="true" t="shared" si="17" ref="H185:H192">"1939"</f>
        <v>1939</v>
      </c>
      <c r="I185" t="str">
        <f>"Kalevala : soome rahva eepos"</f>
        <v>Kalevala : soome rahva eepos</v>
      </c>
      <c r="J185" t="str">
        <f>"Annist, August"</f>
        <v>Annist, August</v>
      </c>
      <c r="K185" t="str">
        <f>"Eesti Kirjanduse Selts, Tallinn"</f>
        <v>Eesti Kirjanduse Selts, Tallinn</v>
      </c>
      <c r="L185" t="str">
        <f>""</f>
        <v/>
      </c>
      <c r="M185" t="str">
        <f>""</f>
        <v/>
      </c>
    </row>
    <row r="186" spans="1:13" ht="15">
      <c r="A186" t="s">
        <v>338</v>
      </c>
      <c r="B186" t="str">
        <f>"6708"</f>
        <v>6708</v>
      </c>
      <c r="C186" t="str">
        <f>"1936"</f>
        <v>1936</v>
      </c>
      <c r="D186" t="str">
        <f>"Paimen, piika ja emäntä"</f>
        <v>Paimen, piika ja emäntä</v>
      </c>
      <c r="E186" t="str">
        <f t="shared" si="12"/>
        <v>viro</v>
      </c>
      <c r="F186" t="str">
        <f>"romaanid; proosa"</f>
        <v>romaanid; proosa</v>
      </c>
      <c r="G186" t="str">
        <f>"  täiskasvanud"</f>
        <v xml:space="preserve">  täiskasvanud</v>
      </c>
      <c r="H186" t="str">
        <f t="shared" si="17"/>
        <v>1939</v>
      </c>
      <c r="I186" t="str">
        <f>"Karjus, tüdruk ja perenaine"</f>
        <v>Karjus, tüdruk ja perenaine</v>
      </c>
      <c r="J186" t="str">
        <f>"Selge, A."</f>
        <v>Selge, A.</v>
      </c>
      <c r="K186" t="str">
        <f>"Eesti Kirjastuse Kooperatiiv, Tartu"</f>
        <v>Eesti Kirjastuse Kooperatiiv, Tartu</v>
      </c>
      <c r="L186" t="str">
        <f>""</f>
        <v/>
      </c>
      <c r="M186" t="str">
        <f>""</f>
        <v/>
      </c>
    </row>
    <row r="187" spans="1:13" ht="15">
      <c r="A187" t="s">
        <v>442</v>
      </c>
      <c r="B187" t="str">
        <f>"10353"</f>
        <v>10353</v>
      </c>
      <c r="C187" t="str">
        <f>"1936"</f>
        <v>1936</v>
      </c>
      <c r="D187" t="str">
        <f>"Katrina"</f>
        <v>Katrina</v>
      </c>
      <c r="E187" t="str">
        <f t="shared" si="12"/>
        <v>viro</v>
      </c>
      <c r="F187" t="str">
        <f>"romaanid; proosa"</f>
        <v>romaanid; proosa</v>
      </c>
      <c r="G187" t="str">
        <f>"  täiskasvanud"</f>
        <v xml:space="preserve">  täiskasvanud</v>
      </c>
      <c r="H187" t="str">
        <f t="shared" si="17"/>
        <v>1939</v>
      </c>
      <c r="I187" t="str">
        <f>"Katrina"</f>
        <v>Katrina</v>
      </c>
      <c r="J187" t="str">
        <f>"Haliste, E."</f>
        <v>Haliste, E.</v>
      </c>
      <c r="K187" t="str">
        <f>"Eesti Kirjastuse Kooperatiiv, Tartu"</f>
        <v>Eesti Kirjastuse Kooperatiiv, Tartu</v>
      </c>
      <c r="L187" t="str">
        <f>""</f>
        <v/>
      </c>
      <c r="M187" t="str">
        <f>""</f>
        <v/>
      </c>
    </row>
    <row r="188" spans="1:13" ht="15">
      <c r="A188" t="s">
        <v>541</v>
      </c>
      <c r="B188" t="str">
        <f>"10168"</f>
        <v>10168</v>
      </c>
      <c r="C188" t="str">
        <f>"1938"</f>
        <v>1938</v>
      </c>
      <c r="D188" t="str">
        <f>"Hätävara"</f>
        <v>Hätävara</v>
      </c>
      <c r="E188" t="str">
        <f t="shared" si="12"/>
        <v>viro</v>
      </c>
      <c r="F188" t="str">
        <f>"romaanid; proosa"</f>
        <v>romaanid; proosa</v>
      </c>
      <c r="G188" t="str">
        <f>"  täiskasvanud"</f>
        <v xml:space="preserve">  täiskasvanud</v>
      </c>
      <c r="H188" t="str">
        <f t="shared" si="17"/>
        <v>1939</v>
      </c>
      <c r="I188" t="str">
        <f>"Hädavahend"</f>
        <v>Hädavahend</v>
      </c>
      <c r="J188" t="str">
        <f>"Sinimets, Salme"</f>
        <v>Sinimets, Salme</v>
      </c>
      <c r="K188" t="str">
        <f>"Turist, Tartu"</f>
        <v>Turist, Tartu</v>
      </c>
      <c r="L188" t="str">
        <f>""</f>
        <v/>
      </c>
      <c r="M188" t="str">
        <f>""</f>
        <v/>
      </c>
    </row>
    <row r="189" spans="1:13" ht="15">
      <c r="A189" t="s">
        <v>541</v>
      </c>
      <c r="B189" t="str">
        <f>"10269"</f>
        <v>10269</v>
      </c>
      <c r="C189" t="str">
        <f>"1931"</f>
        <v>1931</v>
      </c>
      <c r="D189" t="str">
        <f>"Kunnankirjuri"</f>
        <v>Kunnankirjuri</v>
      </c>
      <c r="E189" t="str">
        <f t="shared" si="12"/>
        <v>viro</v>
      </c>
      <c r="F189" t="str">
        <f>"romaanid; proosa"</f>
        <v>romaanid; proosa</v>
      </c>
      <c r="G189" t="str">
        <f>"  täiskasvanud"</f>
        <v xml:space="preserve">  täiskasvanud</v>
      </c>
      <c r="H189" t="str">
        <f t="shared" si="17"/>
        <v>1939</v>
      </c>
      <c r="I189" t="str">
        <f>"Vallakirjutaja"</f>
        <v>Vallakirjutaja</v>
      </c>
      <c r="J189" t="str">
        <f>"Ränk, Aino"</f>
        <v>Ränk, Aino</v>
      </c>
      <c r="K189" t="str">
        <f>"Loodus, Tartu"</f>
        <v>Loodus, Tartu</v>
      </c>
      <c r="L189" t="str">
        <f>""</f>
        <v/>
      </c>
      <c r="M189" t="str">
        <f>""</f>
        <v/>
      </c>
    </row>
    <row r="190" spans="1:13" ht="15">
      <c r="A190" t="s">
        <v>541</v>
      </c>
      <c r="B190" t="str">
        <f>"6780"</f>
        <v>6780</v>
      </c>
      <c r="C190" t="str">
        <f>"1926"</f>
        <v>1926</v>
      </c>
      <c r="D190" t="str">
        <f>"Nuoren opettajattaren varaventtiili"</f>
        <v>Nuoren opettajattaren varaventtiili</v>
      </c>
      <c r="E190" t="str">
        <f t="shared" si="12"/>
        <v>viro</v>
      </c>
      <c r="F190" t="str">
        <f>"romaanid; proosa"</f>
        <v>romaanid; proosa</v>
      </c>
      <c r="G190" t="str">
        <f>"  täiskasvanud"</f>
        <v xml:space="preserve">  täiskasvanud</v>
      </c>
      <c r="H190" t="str">
        <f t="shared" si="17"/>
        <v>1939</v>
      </c>
      <c r="I190" t="str">
        <f>"Noore naisõpetaja abiventiil"</f>
        <v>Noore naisõpetaja abiventiil</v>
      </c>
      <c r="J190" t="str">
        <f>"Rahkama, A."</f>
        <v>Rahkama, A.</v>
      </c>
      <c r="K190" t="str">
        <f>"Loodus, Tartu"</f>
        <v>Loodus, Tartu</v>
      </c>
      <c r="L190" t="str">
        <f>"2. p."</f>
        <v>2. p.</v>
      </c>
      <c r="M190" t="str">
        <f>""</f>
        <v/>
      </c>
    </row>
    <row r="191" spans="1:13" ht="15">
      <c r="A191" t="s">
        <v>563</v>
      </c>
      <c r="B191" t="str">
        <f>"6772"</f>
        <v>6772</v>
      </c>
      <c r="C191" t="str">
        <f>"1938"</f>
        <v>1938</v>
      </c>
      <c r="D191" t="str">
        <f>"Jälkinäytös : jatko romaaniin Vieras mies tuli taloon"</f>
        <v>Jälkinäytös : jatko romaaniin Vieras mies tuli taloon</v>
      </c>
      <c r="E191" t="str">
        <f t="shared" si="12"/>
        <v>viro</v>
      </c>
      <c r="F191" t="str">
        <f>"romaanid; proosa"</f>
        <v>romaanid; proosa</v>
      </c>
      <c r="G191" t="str">
        <f>"  täiskasvanud"</f>
        <v xml:space="preserve">  täiskasvanud</v>
      </c>
      <c r="H191" t="str">
        <f t="shared" si="17"/>
        <v>1939</v>
      </c>
      <c r="I191" t="str">
        <f>"Lõppvaatus"</f>
        <v>Lõppvaatus</v>
      </c>
      <c r="J191" t="str">
        <f>"Riisen, Lembit"</f>
        <v>Riisen, Lembit</v>
      </c>
      <c r="K191" t="str">
        <f>"Turist, Tartu"</f>
        <v>Turist, Tartu</v>
      </c>
      <c r="L191" t="str">
        <f>""</f>
        <v/>
      </c>
      <c r="M191" t="str">
        <f>""</f>
        <v/>
      </c>
    </row>
    <row r="192" spans="1:13" ht="15">
      <c r="A192" t="s">
        <v>569</v>
      </c>
      <c r="B192" t="str">
        <f>"6788"</f>
        <v>6788</v>
      </c>
      <c r="C192" t="str">
        <f>"1939"</f>
        <v>1939</v>
      </c>
      <c r="D192" t="str">
        <f>"Niskavuoren leipä : 3-näytöksinen näytelmä : Niskavuoren naisten 2 osa"</f>
        <v>Niskavuoren leipä : 3-näytöksinen näytelmä : Niskavuoren naisten 2 osa</v>
      </c>
      <c r="E192" t="str">
        <f t="shared" si="12"/>
        <v>viro</v>
      </c>
      <c r="F192" t="str">
        <f>"näidendid; draama"</f>
        <v>näidendid; draama</v>
      </c>
      <c r="G192" t="str">
        <f>"  täiskasvanud"</f>
        <v xml:space="preserve">  täiskasvanud</v>
      </c>
      <c r="H192" t="str">
        <f t="shared" si="17"/>
        <v>1939</v>
      </c>
      <c r="I192" t="str">
        <f>"Niskamäe leib"</f>
        <v>Niskamäe leib</v>
      </c>
      <c r="J192" t="str">
        <f>"Kivikas, Albert"</f>
        <v>Kivikas, Albert</v>
      </c>
      <c r="K192" t="str">
        <f>"Eesti Haridusliit, Tallinn"</f>
        <v>Eesti Haridusliit, Tallinn</v>
      </c>
      <c r="L192" t="str">
        <f>""</f>
        <v/>
      </c>
      <c r="M192" t="str">
        <f>""</f>
        <v/>
      </c>
    </row>
    <row r="193" spans="1:13" ht="15">
      <c r="A193" t="s">
        <v>443</v>
      </c>
      <c r="B193" t="str">
        <f>"6728"</f>
        <v>6728</v>
      </c>
      <c r="C193" t="str">
        <f>"1934"</f>
        <v>1934</v>
      </c>
      <c r="D193" t="str">
        <f>"Tehtaantyttö : romaani"</f>
        <v>Tehtaantyttö : romaani</v>
      </c>
      <c r="E193" t="str">
        <f t="shared" si="12"/>
        <v>viro</v>
      </c>
      <c r="F193" t="str">
        <f>"romaanid; proosa"</f>
        <v>romaanid; proosa</v>
      </c>
      <c r="G193" t="str">
        <f>"  täiskasvanud"</f>
        <v xml:space="preserve">  täiskasvanud</v>
      </c>
      <c r="H193" t="str">
        <f aca="true" t="shared" si="18" ref="H193:H199">"1940"</f>
        <v>1940</v>
      </c>
      <c r="I193" t="str">
        <f>"Vabrikutüdruk"</f>
        <v>Vabrikutüdruk</v>
      </c>
      <c r="J193" t="str">
        <f>"Ränk, Aino"</f>
        <v>Ränk, Aino</v>
      </c>
      <c r="K193" t="str">
        <f>"Loodus, Tartu"</f>
        <v>Loodus, Tartu</v>
      </c>
      <c r="L193" t="str">
        <f>""</f>
        <v/>
      </c>
      <c r="M193" t="str">
        <f>""</f>
        <v/>
      </c>
    </row>
    <row r="194" spans="1:13" ht="15">
      <c r="A194" t="s">
        <v>466</v>
      </c>
      <c r="B194" t="str">
        <f>"6733"</f>
        <v>6733</v>
      </c>
      <c r="C194" t="str">
        <f>""</f>
        <v/>
      </c>
      <c r="D194" t="str">
        <f>""</f>
        <v/>
      </c>
      <c r="E194" t="str">
        <f t="shared" si="12"/>
        <v>viro</v>
      </c>
      <c r="F194" t="str">
        <f>"lühiproosa, proosa"</f>
        <v>lühiproosa, proosa</v>
      </c>
      <c r="G194" t="str">
        <f>"  täiskasvanud"</f>
        <v xml:space="preserve">  täiskasvanud</v>
      </c>
      <c r="H194" t="str">
        <f t="shared" si="18"/>
        <v>1940</v>
      </c>
      <c r="I194" t="str">
        <f>"Armas isamaa"</f>
        <v>Armas isamaa</v>
      </c>
      <c r="J194" t="str">
        <f>"Lepik, Mart"</f>
        <v>Lepik, Mart</v>
      </c>
      <c r="K194" t="str">
        <f>"Eesti Kirjastuse Kooperatiiv, Tartu"</f>
        <v>Eesti Kirjastuse Kooperatiiv, Tartu</v>
      </c>
      <c r="L194" t="str">
        <f>""</f>
        <v/>
      </c>
      <c r="M194" t="str">
        <f>""</f>
        <v/>
      </c>
    </row>
    <row r="195" spans="1:13" ht="15">
      <c r="A195" t="s">
        <v>487</v>
      </c>
      <c r="B195" t="str">
        <f>"14979"</f>
        <v>14979</v>
      </c>
      <c r="C195" t="str">
        <f>"1922"</f>
        <v>1922</v>
      </c>
      <c r="D195" t="str">
        <f>"Saituri-Matin jouluaatto"</f>
        <v>Saituri-Matin jouluaatto</v>
      </c>
      <c r="E195" t="str">
        <f t="shared" si="12"/>
        <v>viro</v>
      </c>
      <c r="F195" t="str">
        <f>"näidendid; draama"</f>
        <v>näidendid; draama</v>
      </c>
      <c r="G195" t="str">
        <f>" lapsed ja noored"</f>
        <v xml:space="preserve"> lapsed ja noored</v>
      </c>
      <c r="H195" t="str">
        <f t="shared" si="18"/>
        <v>1940</v>
      </c>
      <c r="I195" t="str">
        <f>"Ihnur-Mati jõuluõhtu"</f>
        <v>Ihnur-Mati jõuluõhtu</v>
      </c>
      <c r="J195" t="str">
        <f>"Korsen, A."</f>
        <v>Korsen, A.</v>
      </c>
      <c r="K195" t="str">
        <f>"Mutsu, Tallinn"</f>
        <v>Mutsu, Tallinn</v>
      </c>
      <c r="L195" t="str">
        <f>""</f>
        <v/>
      </c>
      <c r="M195" t="str">
        <f>""</f>
        <v/>
      </c>
    </row>
    <row r="196" spans="1:13" ht="15">
      <c r="A196" t="s">
        <v>541</v>
      </c>
      <c r="B196" t="str">
        <f>"10172"</f>
        <v>10172</v>
      </c>
      <c r="C196" t="str">
        <f>"1930"</f>
        <v>1930</v>
      </c>
      <c r="D196" t="str">
        <f>"Hiiliristi"</f>
        <v>Hiiliristi</v>
      </c>
      <c r="E196" t="str">
        <f t="shared" si="12"/>
        <v>viro</v>
      </c>
      <c r="F196" t="str">
        <f>"romaanid; proosa"</f>
        <v>romaanid; proosa</v>
      </c>
      <c r="G196" t="str">
        <f>"  täiskasvanud"</f>
        <v xml:space="preserve">  täiskasvanud</v>
      </c>
      <c r="H196" t="str">
        <f t="shared" si="18"/>
        <v>1940</v>
      </c>
      <c r="I196" t="str">
        <f>"Söerist"</f>
        <v>Söerist</v>
      </c>
      <c r="J196" t="str">
        <f>"Annus, Lembit"</f>
        <v>Annus, Lembit</v>
      </c>
      <c r="K196" t="str">
        <f>"Turist, Tartu"</f>
        <v>Turist, Tartu</v>
      </c>
      <c r="L196" t="str">
        <f>""</f>
        <v/>
      </c>
      <c r="M196" t="str">
        <f>""</f>
        <v/>
      </c>
    </row>
    <row r="197" spans="1:13" ht="15">
      <c r="A197" t="s">
        <v>541</v>
      </c>
      <c r="B197" t="str">
        <f>"10256"</f>
        <v>10256</v>
      </c>
      <c r="C197" t="str">
        <f>"1928"</f>
        <v>1928</v>
      </c>
      <c r="D197" t="str">
        <f>"Opettajan villikko"</f>
        <v>Opettajan villikko</v>
      </c>
      <c r="E197" t="str">
        <f t="shared" si="12"/>
        <v>viro</v>
      </c>
      <c r="F197" t="str">
        <f>"romaanid; proosa"</f>
        <v>romaanid; proosa</v>
      </c>
      <c r="G197" t="str">
        <f>"  täiskasvanud"</f>
        <v xml:space="preserve">  täiskasvanud</v>
      </c>
      <c r="H197" t="str">
        <f t="shared" si="18"/>
        <v>1940</v>
      </c>
      <c r="I197" t="str">
        <f>"Õpetaja metskass"</f>
        <v>Õpetaja metskass</v>
      </c>
      <c r="J197" t="str">
        <f>"Riisen, Lembit"</f>
        <v>Riisen, Lembit</v>
      </c>
      <c r="K197" t="str">
        <f>"Turist, Tartu"</f>
        <v>Turist, Tartu</v>
      </c>
      <c r="L197" t="str">
        <f>""</f>
        <v/>
      </c>
      <c r="M197" t="str">
        <f>""</f>
        <v/>
      </c>
    </row>
    <row r="198" spans="1:13" ht="15">
      <c r="A198" t="s">
        <v>541</v>
      </c>
      <c r="B198" t="str">
        <f>"6781"</f>
        <v>6781</v>
      </c>
      <c r="C198" t="str">
        <f>"1935"</f>
        <v>1935</v>
      </c>
      <c r="D198" t="str">
        <f>"Tarvaatar"</f>
        <v>Tarvaatar</v>
      </c>
      <c r="E198" t="str">
        <f t="shared" si="12"/>
        <v>viro</v>
      </c>
      <c r="F198" t="str">
        <f>"romaanid; proosa"</f>
        <v>romaanid; proosa</v>
      </c>
      <c r="G198" t="str">
        <f>"  täiskasvanud"</f>
        <v xml:space="preserve">  täiskasvanud</v>
      </c>
      <c r="H198" t="str">
        <f t="shared" si="18"/>
        <v>1940</v>
      </c>
      <c r="I198" t="str">
        <f>"Tarvaala peretütar"</f>
        <v>Tarvaala peretütar</v>
      </c>
      <c r="J198" t="str">
        <f>"Madaras, J."</f>
        <v>Madaras, J.</v>
      </c>
      <c r="K198" t="str">
        <f>"Loodus, Tartu"</f>
        <v>Loodus, Tartu</v>
      </c>
      <c r="L198" t="str">
        <f>""</f>
        <v/>
      </c>
      <c r="M198" t="str">
        <f>""</f>
        <v/>
      </c>
    </row>
    <row r="199" spans="1:13" ht="15">
      <c r="A199" t="s">
        <v>563</v>
      </c>
      <c r="B199" t="str">
        <f>"9915"</f>
        <v>9915</v>
      </c>
      <c r="C199" t="str">
        <f>"1939"</f>
        <v>1939</v>
      </c>
      <c r="D199" t="str">
        <f>"Kuka murhasi rouva Skrofin?"</f>
        <v>Kuka murhasi rouva Skrofin?</v>
      </c>
      <c r="E199" t="str">
        <f t="shared" si="12"/>
        <v>viro</v>
      </c>
      <c r="F199" t="str">
        <f>"romaanid; põnevus- ja krimikirjandus; proosa"</f>
        <v>romaanid; põnevus- ja krimikirjandus; proosa</v>
      </c>
      <c r="G199" t="str">
        <f>"  täiskasvanud"</f>
        <v xml:space="preserve">  täiskasvanud</v>
      </c>
      <c r="H199" t="str">
        <f t="shared" si="18"/>
        <v>1940</v>
      </c>
      <c r="I199" t="str">
        <f>"Kes tappis proua Skrofi?"</f>
        <v>Kes tappis proua Skrofi?</v>
      </c>
      <c r="J199" t="str">
        <f>"Hanko, August"</f>
        <v>Hanko, August</v>
      </c>
      <c r="K199" t="str">
        <f>"Eesti Kirjastuse Kooperatiiv, Tartu"</f>
        <v>Eesti Kirjastuse Kooperatiiv, Tartu</v>
      </c>
      <c r="L199" t="str">
        <f>""</f>
        <v/>
      </c>
      <c r="M199" t="str">
        <f>""</f>
        <v/>
      </c>
    </row>
    <row r="200" spans="1:13" ht="15">
      <c r="A200" t="s">
        <v>185</v>
      </c>
      <c r="B200" t="str">
        <f>"9785"</f>
        <v>9785</v>
      </c>
      <c r="C200" t="str">
        <f>"1870"</f>
        <v>1870</v>
      </c>
      <c r="D200" t="str">
        <f>"Seitsemän veljestä"</f>
        <v>Seitsemän veljestä</v>
      </c>
      <c r="E200" t="str">
        <f t="shared" si="12"/>
        <v>viro</v>
      </c>
      <c r="F200" t="str">
        <f>"romaanid; proosa"</f>
        <v>romaanid; proosa</v>
      </c>
      <c r="G200" t="str">
        <f>"  täiskasvanud"</f>
        <v xml:space="preserve">  täiskasvanud</v>
      </c>
      <c r="H200" t="str">
        <f>"1942"</f>
        <v>1942</v>
      </c>
      <c r="I200" t="str">
        <f>"Seitse wenda"</f>
        <v>Seitse wenda</v>
      </c>
      <c r="J200" t="str">
        <f>"Tuglas, Friedebert"</f>
        <v>Tuglas, Friedebert</v>
      </c>
      <c r="K200" t="str">
        <f>"Eesti Kirjastus, Tartu"</f>
        <v>Eesti Kirjastus, Tartu</v>
      </c>
      <c r="L200" t="str">
        <f>"3. p."</f>
        <v>3. p.</v>
      </c>
      <c r="M200" t="str">
        <f>""</f>
        <v/>
      </c>
    </row>
    <row r="201" spans="1:13" ht="15">
      <c r="A201" t="s">
        <v>147</v>
      </c>
      <c r="B201" t="str">
        <f>"14978"</f>
        <v>14978</v>
      </c>
      <c r="C201" t="str">
        <f>"1944"</f>
        <v>1944</v>
      </c>
      <c r="D201" t="str">
        <f>"Löytöretkillä Lontoossa : kaksitoista vuotta Viron Lontoon-lähetystössä"</f>
        <v>Löytöretkillä Lontoossa : kaksitoista vuotta Viron Lontoon-lähetystössä</v>
      </c>
      <c r="E201" t="str">
        <f t="shared" si="12"/>
        <v>viro</v>
      </c>
      <c r="F201" t="str">
        <f>""</f>
        <v/>
      </c>
      <c r="G201" t="str">
        <f>"  täiskasvanud"</f>
        <v xml:space="preserve">  täiskasvanud</v>
      </c>
      <c r="H201" t="str">
        <f>"1945"</f>
        <v>1945</v>
      </c>
      <c r="I201" t="str">
        <f>"Leiuretkedel Londonis"</f>
        <v>Leiuretkedel Londonis</v>
      </c>
      <c r="J201" t="str">
        <f>"Aavik, Johannes"</f>
        <v>Aavik, Johannes</v>
      </c>
      <c r="K201" t="str">
        <f>"Orto, Vadstena"</f>
        <v>Orto, Vadstena</v>
      </c>
      <c r="L201" t="str">
        <f>""</f>
        <v/>
      </c>
      <c r="M201" t="str">
        <f>""</f>
        <v/>
      </c>
    </row>
    <row r="202" spans="1:13" ht="15">
      <c r="A202" t="s">
        <v>147</v>
      </c>
      <c r="B202" t="str">
        <f>"14983"</f>
        <v>14983</v>
      </c>
      <c r="C202" t="str">
        <f>""</f>
        <v/>
      </c>
      <c r="D202" t="str">
        <f>""</f>
        <v/>
      </c>
      <c r="E202" t="str">
        <f t="shared" si="12"/>
        <v>viro</v>
      </c>
      <c r="F202" t="str">
        <f>""</f>
        <v/>
      </c>
      <c r="G202" t="str">
        <f>"  täiskasvanud"</f>
        <v xml:space="preserve">  täiskasvanud</v>
      </c>
      <c r="H202" t="str">
        <f>"1947"</f>
        <v>1947</v>
      </c>
      <c r="I202" t="str">
        <f>"Mu saatuse maa"</f>
        <v>Mu saatuse maa</v>
      </c>
      <c r="J202" t="str">
        <f>"Aavik, Johannes"</f>
        <v>Aavik, Johannes</v>
      </c>
      <c r="K202" t="str">
        <f>"Orto, Vadstena"</f>
        <v>Orto, Vadstena</v>
      </c>
      <c r="L202" t="str">
        <f>""</f>
        <v/>
      </c>
      <c r="M202" t="str">
        <f>""</f>
        <v/>
      </c>
    </row>
    <row r="203" spans="1:13" ht="15">
      <c r="A203" t="s">
        <v>113</v>
      </c>
      <c r="B203" t="str">
        <f>"6621"</f>
        <v>6621</v>
      </c>
      <c r="C203" t="str">
        <f>"1911"</f>
        <v>1911</v>
      </c>
      <c r="D203" t="str">
        <f>"Viipurin pamaus"</f>
        <v>Viipurin pamaus</v>
      </c>
      <c r="E203" t="str">
        <f aca="true" t="shared" si="19" ref="E203:E225">"viro"</f>
        <v>viro</v>
      </c>
      <c r="F203" t="str">
        <f>"romaanid; proosa"</f>
        <v>romaanid; proosa</v>
      </c>
      <c r="G203" t="str">
        <f>"  täiskasvanud"</f>
        <v xml:space="preserve">  täiskasvanud</v>
      </c>
      <c r="H203" t="str">
        <f>"1950"</f>
        <v>1950</v>
      </c>
      <c r="I203" t="str">
        <f>"Viiburi plahvatus"</f>
        <v>Viiburi plahvatus</v>
      </c>
      <c r="J203" t="str">
        <f>"Murd, E."</f>
        <v>Murd, E.</v>
      </c>
      <c r="K203" t="str">
        <f>"Noorte-Orto, Göteborg"</f>
        <v>Noorte-Orto, Göteborg</v>
      </c>
      <c r="L203" t="str">
        <f>"2. p."</f>
        <v>2. p.</v>
      </c>
      <c r="M203" t="str">
        <f>""</f>
        <v/>
      </c>
    </row>
    <row r="204" spans="1:13" ht="15">
      <c r="A204" t="s">
        <v>147</v>
      </c>
      <c r="B204" t="str">
        <f>"6643"</f>
        <v>6643</v>
      </c>
      <c r="C204" t="str">
        <f>"1948"</f>
        <v>1948</v>
      </c>
      <c r="D204" t="str">
        <f>"Seitsemän neitsyttä : tarinoita"</f>
        <v>Seitsemän neitsyttä : tarinoita</v>
      </c>
      <c r="E204" t="str">
        <f t="shared" si="19"/>
        <v>viro</v>
      </c>
      <c r="F204" t="str">
        <f>"lühiproosa, proosa"</f>
        <v>lühiproosa, proosa</v>
      </c>
      <c r="G204" t="str">
        <f>"  täiskasvanud"</f>
        <v xml:space="preserve">  täiskasvanud</v>
      </c>
      <c r="H204" t="str">
        <f>"1950"</f>
        <v>1950</v>
      </c>
      <c r="I204" t="str">
        <f>"Seitse neitsit"</f>
        <v>Seitse neitsit</v>
      </c>
      <c r="J204" t="str">
        <f>"Aavik, Johannes"</f>
        <v>Aavik, Johannes</v>
      </c>
      <c r="K204" t="str">
        <f>"Orto, Vadstena"</f>
        <v>Orto, Vadstena</v>
      </c>
      <c r="L204" t="str">
        <f>""</f>
        <v/>
      </c>
      <c r="M204" t="str">
        <f>""</f>
        <v/>
      </c>
    </row>
    <row r="205" spans="1:13" ht="15">
      <c r="A205" t="s">
        <v>498</v>
      </c>
      <c r="B205" t="str">
        <f>"14977"</f>
        <v>14977</v>
      </c>
      <c r="C205" t="str">
        <f>"1950"</f>
        <v>1950</v>
      </c>
      <c r="D205" t="str">
        <f>"Olin ulkoministerinä talvisodan aikana"</f>
        <v>Olin ulkoministerinä talvisodan aikana</v>
      </c>
      <c r="E205" t="str">
        <f t="shared" si="19"/>
        <v>viro</v>
      </c>
      <c r="F205" t="str">
        <f>""</f>
        <v/>
      </c>
      <c r="G205" t="str">
        <f>"  täiskasvanud"</f>
        <v xml:space="preserve">  täiskasvanud</v>
      </c>
      <c r="H205" t="str">
        <f>"1951"</f>
        <v>1951</v>
      </c>
      <c r="I205" t="str">
        <f>"Olin välisministriks Talvesõja ajal"</f>
        <v>Olin välisministriks Talvesõja ajal</v>
      </c>
      <c r="J205" t="str">
        <f>""</f>
        <v/>
      </c>
      <c r="K205" t="str">
        <f>"Orto, Göteborg"</f>
        <v>Orto, Göteborg</v>
      </c>
      <c r="L205" t="str">
        <f>""</f>
        <v/>
      </c>
      <c r="M205" t="str">
        <f>""</f>
        <v/>
      </c>
    </row>
    <row r="206" spans="1:13" ht="15">
      <c r="A206" t="s">
        <v>147</v>
      </c>
      <c r="B206" t="str">
        <f>"6634"</f>
        <v>6634</v>
      </c>
      <c r="C206" t="str">
        <f>"1951"</f>
        <v>1951</v>
      </c>
      <c r="D206" t="str">
        <f>"Rakkauden vangit"</f>
        <v>Rakkauden vangit</v>
      </c>
      <c r="E206" t="str">
        <f t="shared" si="19"/>
        <v>viro</v>
      </c>
      <c r="F206" t="str">
        <f>"lühiproosa, proosa"</f>
        <v>lühiproosa, proosa</v>
      </c>
      <c r="G206" t="str">
        <f>"  täiskasvanud"</f>
        <v xml:space="preserve">  täiskasvanud</v>
      </c>
      <c r="H206" t="str">
        <f>"1952"</f>
        <v>1952</v>
      </c>
      <c r="I206" t="str">
        <f>"Armastuse vangid"</f>
        <v>Armastuse vangid</v>
      </c>
      <c r="J206" t="str">
        <f>"Aavik, Johannes"</f>
        <v>Aavik, Johannes</v>
      </c>
      <c r="K206" t="str">
        <f>"Orto, Toronto"</f>
        <v>Orto, Toronto</v>
      </c>
      <c r="L206" t="str">
        <f>""</f>
        <v/>
      </c>
      <c r="M206" t="str">
        <f>""</f>
        <v/>
      </c>
    </row>
    <row r="207" spans="1:13" ht="15">
      <c r="A207" t="s">
        <v>9</v>
      </c>
      <c r="B207" t="str">
        <f>"6578"</f>
        <v>6578</v>
      </c>
      <c r="C207" t="str">
        <f>""</f>
        <v/>
      </c>
      <c r="D207" t="str">
        <f>"Lastuja"</f>
        <v>Lastuja</v>
      </c>
      <c r="E207" t="str">
        <f t="shared" si="19"/>
        <v>viro</v>
      </c>
      <c r="F207" t="str">
        <f>"lühiproosa, proosa"</f>
        <v>lühiproosa, proosa</v>
      </c>
      <c r="G207" t="str">
        <f>"  täiskasvanud"</f>
        <v xml:space="preserve">  täiskasvanud</v>
      </c>
      <c r="H207" t="str">
        <f>"1954"</f>
        <v>1954</v>
      </c>
      <c r="I207" t="str">
        <f>"Laastud"</f>
        <v>Laastud</v>
      </c>
      <c r="J207" t="str">
        <f>"Aavik, Johannes"</f>
        <v>Aavik, Johannes</v>
      </c>
      <c r="K207" t="str">
        <f>"Orto, Toronto"</f>
        <v>Orto, Toronto</v>
      </c>
      <c r="L207" t="str">
        <f>""</f>
        <v/>
      </c>
      <c r="M207" t="str">
        <f>""</f>
        <v/>
      </c>
    </row>
    <row r="208" spans="1:13" ht="15">
      <c r="A208" t="s">
        <v>147</v>
      </c>
      <c r="B208" t="str">
        <f>"10812"</f>
        <v>10812</v>
      </c>
      <c r="C208" t="str">
        <f>"1952"</f>
        <v>1952</v>
      </c>
      <c r="D208" t="str">
        <f>"Päiväkirja vuosilta 1897-1906"</f>
        <v>Päiväkirja vuosilta 1897-1906</v>
      </c>
      <c r="E208" t="str">
        <f t="shared" si="19"/>
        <v>viro</v>
      </c>
      <c r="F208" t="str">
        <f>""</f>
        <v/>
      </c>
      <c r="G208" t="str">
        <f>"  täiskasvanud"</f>
        <v xml:space="preserve">  täiskasvanud</v>
      </c>
      <c r="H208" t="str">
        <f>"1954"</f>
        <v>1954</v>
      </c>
      <c r="I208" t="str">
        <f>"Päevaraamat aastaist 1897-1906"</f>
        <v>Päevaraamat aastaist 1897-1906</v>
      </c>
      <c r="J208" t="str">
        <f>"Eller, Helmi"</f>
        <v>Eller, Helmi</v>
      </c>
      <c r="K208" t="str">
        <f>"Orto, Toronto"</f>
        <v>Orto, Toronto</v>
      </c>
      <c r="L208" t="str">
        <f>""</f>
        <v/>
      </c>
      <c r="M208" t="str">
        <f>""</f>
        <v/>
      </c>
    </row>
    <row r="209" spans="1:13" ht="15">
      <c r="A209" t="s">
        <v>563</v>
      </c>
      <c r="B209" t="str">
        <f>"14968"</f>
        <v>14968</v>
      </c>
      <c r="C209" t="str">
        <f>"1945"</f>
        <v>1945</v>
      </c>
      <c r="D209" t="str">
        <f>"Sinuhe egyptiläinen"</f>
        <v>Sinuhe egyptiläinen</v>
      </c>
      <c r="E209" t="str">
        <f t="shared" si="19"/>
        <v>viro</v>
      </c>
      <c r="F209" t="str">
        <f>"romaanid; proosa"</f>
        <v>romaanid; proosa</v>
      </c>
      <c r="G209" t="str">
        <f>"  täiskasvanud"</f>
        <v xml:space="preserve">  täiskasvanud</v>
      </c>
      <c r="H209" t="str">
        <f>"1954"</f>
        <v>1954</v>
      </c>
      <c r="I209" t="str">
        <f>"Sinuhe. 1-2"</f>
        <v>Sinuhe. 1-2</v>
      </c>
      <c r="J209" t="str">
        <f>"Aavik, Johannes"</f>
        <v>Aavik, Johannes</v>
      </c>
      <c r="K209" t="str">
        <f>"Orto, Toronto"</f>
        <v>Orto, Toronto</v>
      </c>
      <c r="L209" t="str">
        <f>""</f>
        <v/>
      </c>
      <c r="M209" t="str">
        <f>""</f>
        <v/>
      </c>
    </row>
    <row r="210" spans="1:13" ht="15">
      <c r="A210" t="s">
        <v>563</v>
      </c>
      <c r="B210" t="str">
        <f>"14969"</f>
        <v>14969</v>
      </c>
      <c r="C210" t="str">
        <f>"1945"</f>
        <v>1945</v>
      </c>
      <c r="D210" t="str">
        <f>"Sinuhe egyptiläinen"</f>
        <v>Sinuhe egyptiläinen</v>
      </c>
      <c r="E210" t="str">
        <f t="shared" si="19"/>
        <v>viro</v>
      </c>
      <c r="F210" t="str">
        <f>"romaanid; proosa"</f>
        <v>romaanid; proosa</v>
      </c>
      <c r="G210" t="str">
        <f>"  täiskasvanud"</f>
        <v xml:space="preserve">  täiskasvanud</v>
      </c>
      <c r="H210" t="str">
        <f>"1954"</f>
        <v>1954</v>
      </c>
      <c r="I210" t="str">
        <f>"Sinuhe. 1-2"</f>
        <v>Sinuhe. 1-2</v>
      </c>
      <c r="J210" t="str">
        <f>"Aavik, Johannes"</f>
        <v>Aavik, Johannes</v>
      </c>
      <c r="K210" t="str">
        <f>"Orto, Göteborg"</f>
        <v>Orto, Göteborg</v>
      </c>
      <c r="L210" t="str">
        <f>""</f>
        <v/>
      </c>
      <c r="M210" t="str">
        <f>""</f>
        <v/>
      </c>
    </row>
    <row r="211" spans="1:13" ht="15">
      <c r="A211" t="s">
        <v>147</v>
      </c>
      <c r="B211" t="str">
        <f>"10161"</f>
        <v>10161</v>
      </c>
      <c r="C211" t="str">
        <f>"1953"</f>
        <v>1953</v>
      </c>
      <c r="D211" t="str">
        <f>"Päiväkirja vuosilta 1907-1915"</f>
        <v>Päiväkirja vuosilta 1907-1915</v>
      </c>
      <c r="E211" t="str">
        <f t="shared" si="19"/>
        <v>viro</v>
      </c>
      <c r="F211" t="str">
        <f>""</f>
        <v/>
      </c>
      <c r="G211" t="str">
        <f>"  täiskasvanud"</f>
        <v xml:space="preserve">  täiskasvanud</v>
      </c>
      <c r="H211" t="str">
        <f>"1955"</f>
        <v>1955</v>
      </c>
      <c r="I211" t="str">
        <f>"Päevaraamat aastaist 1907-1915"</f>
        <v>Päevaraamat aastaist 1907-1915</v>
      </c>
      <c r="J211" t="str">
        <f>"Eller, Helmi"</f>
        <v>Eller, Helmi</v>
      </c>
      <c r="K211" t="str">
        <f>"Orto, Toronto"</f>
        <v>Orto, Toronto</v>
      </c>
      <c r="L211" t="str">
        <f>""</f>
        <v/>
      </c>
      <c r="M211" t="str">
        <f>""</f>
        <v/>
      </c>
    </row>
    <row r="212" spans="1:13" ht="15">
      <c r="A212" t="s">
        <v>185</v>
      </c>
      <c r="B212" t="str">
        <f>"12147"</f>
        <v>12147</v>
      </c>
      <c r="C212" t="str">
        <f>"1870"</f>
        <v>1870</v>
      </c>
      <c r="D212" t="str">
        <f>"Seitsemän veljestä"</f>
        <v>Seitsemän veljestä</v>
      </c>
      <c r="E212" t="str">
        <f t="shared" si="19"/>
        <v>viro</v>
      </c>
      <c r="F212" t="str">
        <f>"romaanid; proosa"</f>
        <v>romaanid; proosa</v>
      </c>
      <c r="G212" t="str">
        <f>"  täiskasvanud"</f>
        <v xml:space="preserve">  täiskasvanud</v>
      </c>
      <c r="H212" t="str">
        <f>"1955"</f>
        <v>1955</v>
      </c>
      <c r="I212" t="str">
        <f>"Seitse venda"</f>
        <v>Seitse venda</v>
      </c>
      <c r="J212" t="str">
        <f>"Tuglas, Friedebert"</f>
        <v>Tuglas, Friedebert</v>
      </c>
      <c r="K212" t="str">
        <f>"Eesti Riiklik Kirjastus, Tallinn"</f>
        <v>Eesti Riiklik Kirjastus, Tallinn</v>
      </c>
      <c r="L212" t="str">
        <f>""</f>
        <v/>
      </c>
      <c r="M212" t="str">
        <f>""</f>
        <v/>
      </c>
    </row>
    <row r="213" spans="1:13" ht="15">
      <c r="A213" t="s">
        <v>563</v>
      </c>
      <c r="B213" t="str">
        <f>"10297"</f>
        <v>10297</v>
      </c>
      <c r="C213" t="str">
        <f>"1952"</f>
        <v>1952</v>
      </c>
      <c r="D213" t="str">
        <f>"Johannes Angelos"</f>
        <v>Johannes Angelos</v>
      </c>
      <c r="E213" t="str">
        <f t="shared" si="19"/>
        <v>viro</v>
      </c>
      <c r="F213" t="str">
        <f>"romaanid; proosa"</f>
        <v>romaanid; proosa</v>
      </c>
      <c r="G213" t="str">
        <f>"  täiskasvanud"</f>
        <v xml:space="preserve">  täiskasvanud</v>
      </c>
      <c r="H213" t="str">
        <f>"1955"</f>
        <v>1955</v>
      </c>
      <c r="I213" t="str">
        <f>"Angelos"</f>
        <v>Angelos</v>
      </c>
      <c r="J213" t="str">
        <f>"Saretok, Valve"</f>
        <v>Saretok, Valve</v>
      </c>
      <c r="K213" t="str">
        <f>"Orto, Toronto"</f>
        <v>Orto, Toronto</v>
      </c>
      <c r="L213" t="str">
        <f>""</f>
        <v/>
      </c>
      <c r="M213" t="str">
        <f>""</f>
        <v/>
      </c>
    </row>
    <row r="214" spans="1:13" ht="15">
      <c r="A214" t="s">
        <v>563</v>
      </c>
      <c r="B214" t="str">
        <f>"6777"</f>
        <v>6777</v>
      </c>
      <c r="C214" t="str">
        <f>"1944"</f>
        <v>1944</v>
      </c>
      <c r="D214" t="str">
        <f>"Tanssi yli hautojen"</f>
        <v>Tanssi yli hautojen</v>
      </c>
      <c r="E214" t="str">
        <f t="shared" si="19"/>
        <v>viro</v>
      </c>
      <c r="F214" t="str">
        <f>"romaanid; proosa"</f>
        <v>romaanid; proosa</v>
      </c>
      <c r="G214" t="str">
        <f>"  täiskasvanud"</f>
        <v xml:space="preserve">  täiskasvanud</v>
      </c>
      <c r="H214" t="str">
        <f>"1955"</f>
        <v>1955</v>
      </c>
      <c r="I214" t="str">
        <f>"Tants üle haudade"</f>
        <v>Tants üle haudade</v>
      </c>
      <c r="J214" t="str">
        <f>"Ristkok, Valve"</f>
        <v>Ristkok, Valve</v>
      </c>
      <c r="K214" t="str">
        <f>"Orto, Toronto"</f>
        <v>Orto, Toronto</v>
      </c>
      <c r="L214" t="str">
        <f>""</f>
        <v/>
      </c>
      <c r="M214" t="str">
        <f>""</f>
        <v/>
      </c>
    </row>
    <row r="215" spans="1:13" ht="15">
      <c r="A215" t="s">
        <v>147</v>
      </c>
      <c r="B215" t="str">
        <f>"7027"</f>
        <v>7027</v>
      </c>
      <c r="C215" t="str">
        <f>"1954"</f>
        <v>1954</v>
      </c>
      <c r="D215" t="str">
        <f>"Päiväkirja vuosilta 1916-1921"</f>
        <v>Päiväkirja vuosilta 1916-1921</v>
      </c>
      <c r="E215" t="str">
        <f t="shared" si="19"/>
        <v>viro</v>
      </c>
      <c r="F215" t="str">
        <f>""</f>
        <v/>
      </c>
      <c r="G215" t="str">
        <f>"  täiskasvanud"</f>
        <v xml:space="preserve">  täiskasvanud</v>
      </c>
      <c r="H215" t="str">
        <f>"1956"</f>
        <v>1956</v>
      </c>
      <c r="I215" t="str">
        <f>"Hinge sild"</f>
        <v>Hinge sild</v>
      </c>
      <c r="J215" t="str">
        <f>"Eller, Helmi"</f>
        <v>Eller, Helmi</v>
      </c>
      <c r="K215" t="str">
        <f>"Eesti Kirjanike Kooperatiiv, Lund"</f>
        <v>Eesti Kirjanike Kooperatiiv, Lund</v>
      </c>
      <c r="L215" t="str">
        <f>""</f>
        <v/>
      </c>
      <c r="M215" t="str">
        <f>""</f>
        <v/>
      </c>
    </row>
    <row r="216" spans="1:13" ht="15">
      <c r="A216" t="s">
        <v>185</v>
      </c>
      <c r="B216" t="str">
        <f>"14973"</f>
        <v>14973</v>
      </c>
      <c r="C216" t="str">
        <f>"1870"</f>
        <v>1870</v>
      </c>
      <c r="D216" t="str">
        <f>"Seitsemän veljestä"</f>
        <v>Seitsemän veljestä</v>
      </c>
      <c r="E216" t="str">
        <f t="shared" si="19"/>
        <v>viro</v>
      </c>
      <c r="F216" t="str">
        <f>"romaanid; proosa"</f>
        <v>romaanid; proosa</v>
      </c>
      <c r="G216" t="str">
        <f>"  täiskasvanud"</f>
        <v xml:space="preserve">  täiskasvanud</v>
      </c>
      <c r="H216" t="str">
        <f>"1956"</f>
        <v>1956</v>
      </c>
      <c r="I216" t="str">
        <f>"Seitse venda"</f>
        <v>Seitse venda</v>
      </c>
      <c r="J216" t="str">
        <f>"Tuglas, Friedebert"</f>
        <v>Tuglas, Friedebert</v>
      </c>
      <c r="K216" t="str">
        <f>"Vaba Eesti, Stockholm"</f>
        <v>Vaba Eesti, Stockholm</v>
      </c>
      <c r="L216" t="str">
        <f>""</f>
        <v/>
      </c>
      <c r="M216" t="str">
        <f>""</f>
        <v/>
      </c>
    </row>
    <row r="217" spans="1:13" ht="15">
      <c r="A217" t="s">
        <v>364</v>
      </c>
      <c r="B217" t="str">
        <f>"6715"</f>
        <v>6715</v>
      </c>
      <c r="C217" t="str">
        <f>"1940"</f>
        <v>1940</v>
      </c>
      <c r="D217" t="str">
        <f>"Kollaa kestää : kertomuksia Kollaanjoen rintamalta"</f>
        <v>Kollaa kestää : kertomuksia Kollaanjoen rintamalta</v>
      </c>
      <c r="E217" t="str">
        <f t="shared" si="19"/>
        <v>viro</v>
      </c>
      <c r="F217" t="str">
        <f>"romaanid; proosa"</f>
        <v>romaanid; proosa</v>
      </c>
      <c r="G217" t="str">
        <f>"  täiskasvanud"</f>
        <v xml:space="preserve">  täiskasvanud</v>
      </c>
      <c r="H217" t="str">
        <f>"1956"</f>
        <v>1956</v>
      </c>
      <c r="I217" t="str">
        <f>"Kollaa peab vastu"</f>
        <v>Kollaa peab vastu</v>
      </c>
      <c r="J217" t="str">
        <f>"Ristkok, Valve"</f>
        <v>Ristkok, Valve</v>
      </c>
      <c r="K217" t="str">
        <f>"Orto, Toronto"</f>
        <v>Orto, Toronto</v>
      </c>
      <c r="L217" t="str">
        <f>""</f>
        <v/>
      </c>
      <c r="M217" t="str">
        <f>""</f>
        <v/>
      </c>
    </row>
    <row r="218" spans="1:13" ht="15">
      <c r="A218" t="s">
        <v>563</v>
      </c>
      <c r="B218" t="str">
        <f>"8777"</f>
        <v>8777</v>
      </c>
      <c r="C218" t="str">
        <f>"1942"</f>
        <v>1942</v>
      </c>
      <c r="D218" t="str">
        <f>"Kaarina Maununtytär"</f>
        <v>Kaarina Maununtytär</v>
      </c>
      <c r="E218" t="str">
        <f t="shared" si="19"/>
        <v>viro</v>
      </c>
      <c r="F218" t="str">
        <f>"romaanid; proosa"</f>
        <v>romaanid; proosa</v>
      </c>
      <c r="G218" t="str">
        <f>"  täiskasvanud"</f>
        <v xml:space="preserve">  täiskasvanud</v>
      </c>
      <c r="H218" t="str">
        <f>"1956"</f>
        <v>1956</v>
      </c>
      <c r="I218" t="str">
        <f>"Kaarin Magnusetütar"</f>
        <v>Kaarin Magnusetütar</v>
      </c>
      <c r="J218" t="str">
        <f>"Aavik, Johannes"</f>
        <v>Aavik, Johannes</v>
      </c>
      <c r="K218" t="str">
        <f>"Orto, Toronto"</f>
        <v>Orto, Toronto</v>
      </c>
      <c r="L218" t="str">
        <f>""</f>
        <v/>
      </c>
      <c r="M218" t="str">
        <f>""</f>
        <v/>
      </c>
    </row>
    <row r="219" spans="1:13" ht="15">
      <c r="A219" t="s">
        <v>9</v>
      </c>
      <c r="B219" t="str">
        <f>"6581"</f>
        <v>6581</v>
      </c>
      <c r="C219" t="str">
        <f>"1884"</f>
        <v>1884</v>
      </c>
      <c r="D219" t="str">
        <f>"Rautatie"</f>
        <v>Rautatie</v>
      </c>
      <c r="E219" t="str">
        <f t="shared" si="19"/>
        <v>viro</v>
      </c>
      <c r="F219" t="str">
        <f>"romaanid; proosa"</f>
        <v>romaanid; proosa</v>
      </c>
      <c r="G219" t="str">
        <f>"  täiskasvanud"</f>
        <v xml:space="preserve">  täiskasvanud</v>
      </c>
      <c r="H219" t="str">
        <f aca="true" t="shared" si="20" ref="H219:H227">"1957"</f>
        <v>1957</v>
      </c>
      <c r="I219" t="str">
        <f>"Raudtee"</f>
        <v>Raudtee</v>
      </c>
      <c r="J219" t="str">
        <f>"Suits, Gustav"</f>
        <v>Suits, Gustav</v>
      </c>
      <c r="K219" t="str">
        <f>"Eesti Riiklik Kirjastus, Tallinn"</f>
        <v>Eesti Riiklik Kirjastus, Tallinn</v>
      </c>
      <c r="L219" t="str">
        <f>""</f>
        <v/>
      </c>
      <c r="M219" t="str">
        <f>""</f>
        <v/>
      </c>
    </row>
    <row r="220" spans="1:13" ht="15">
      <c r="A220" t="s">
        <v>54</v>
      </c>
      <c r="B220" t="str">
        <f>"6599"</f>
        <v>6599</v>
      </c>
      <c r="C220" t="str">
        <f>""</f>
        <v/>
      </c>
      <c r="D220" t="str">
        <f>""</f>
        <v/>
      </c>
      <c r="E220" t="str">
        <f t="shared" si="19"/>
        <v>viro</v>
      </c>
      <c r="F220" t="str">
        <f>"lühiproosa, proosa"</f>
        <v>lühiproosa, proosa</v>
      </c>
      <c r="G220" t="str">
        <f>"  täiskasvanud"</f>
        <v xml:space="preserve">  täiskasvanud</v>
      </c>
      <c r="H220" t="str">
        <f t="shared" si="20"/>
        <v>1957</v>
      </c>
      <c r="I220" t="str">
        <f>"Elu suurelt maanteelt ja teisi jutte"</f>
        <v>Elu suurelt maanteelt ja teisi jutte</v>
      </c>
      <c r="J220" t="str">
        <f>"Kabur, Vaime"</f>
        <v>Kabur, Vaime</v>
      </c>
      <c r="K220" t="str">
        <f>"Ajalehtede-Ajakirjade Kirjastus, Tallinn"</f>
        <v>Ajalehtede-Ajakirjade Kirjastus, Tallinn</v>
      </c>
      <c r="L220" t="str">
        <f>""</f>
        <v/>
      </c>
      <c r="M220" t="str">
        <f>""</f>
        <v/>
      </c>
    </row>
    <row r="221" spans="1:13" ht="15">
      <c r="A221" t="s">
        <v>54</v>
      </c>
      <c r="B221" t="str">
        <f>"6600"</f>
        <v>6600</v>
      </c>
      <c r="C221" t="str">
        <f>""</f>
        <v/>
      </c>
      <c r="D221" t="str">
        <f>"Valitut teokset : Jutut"</f>
        <v>Valitut teokset : Jutut</v>
      </c>
      <c r="E221" t="str">
        <f t="shared" si="19"/>
        <v>viro</v>
      </c>
      <c r="F221" t="str">
        <f>"lühiproosa, proosa"</f>
        <v>lühiproosa, proosa</v>
      </c>
      <c r="G221" t="str">
        <f>"  täiskasvanud"</f>
        <v xml:space="preserve">  täiskasvanud</v>
      </c>
      <c r="H221" t="str">
        <f t="shared" si="20"/>
        <v>1957</v>
      </c>
      <c r="I221" t="str">
        <f>"Jutud"</f>
        <v>Jutud</v>
      </c>
      <c r="J221" t="str">
        <f>"Kõiv, S., Lepik, Harald, Männik, E., Nassar, H."</f>
        <v>Kõiv, S., Lepik, Harald, Männik, E., Nassar, H.</v>
      </c>
      <c r="K221" t="str">
        <f aca="true" t="shared" si="21" ref="K221:K226">"Eesti Riiklik Kirjastus, Tallinn"</f>
        <v>Eesti Riiklik Kirjastus, Tallinn</v>
      </c>
      <c r="L221" t="str">
        <f>""</f>
        <v/>
      </c>
      <c r="M221" t="str">
        <f>""</f>
        <v/>
      </c>
    </row>
    <row r="222" spans="1:13" ht="15">
      <c r="A222" t="s">
        <v>147</v>
      </c>
      <c r="B222" t="str">
        <f>"6646"</f>
        <v>6646</v>
      </c>
      <c r="C222" t="str">
        <f>""</f>
        <v/>
      </c>
      <c r="D222" t="str">
        <f>"Valitut teokset"</f>
        <v>Valitut teokset</v>
      </c>
      <c r="E222" t="str">
        <f t="shared" si="19"/>
        <v>viro</v>
      </c>
      <c r="F222" t="str">
        <f>"proosa"</f>
        <v>proosa</v>
      </c>
      <c r="G222" t="str">
        <f>"  täiskasvanud"</f>
        <v xml:space="preserve">  täiskasvanud</v>
      </c>
      <c r="H222" t="str">
        <f t="shared" si="20"/>
        <v>1957</v>
      </c>
      <c r="I222" t="str">
        <f>"Valitud teosed"</f>
        <v>Valitud teosed</v>
      </c>
      <c r="J222" t="str">
        <f>"Tuglas, Friedebert"</f>
        <v>Tuglas, Friedebert</v>
      </c>
      <c r="K222" t="str">
        <f t="shared" si="21"/>
        <v>Eesti Riiklik Kirjastus, Tallinn</v>
      </c>
      <c r="L222" t="str">
        <f>"2. p."</f>
        <v>2. p.</v>
      </c>
      <c r="M222" t="str">
        <f>""</f>
        <v/>
      </c>
    </row>
    <row r="223" spans="1:13" ht="15">
      <c r="A223" t="s">
        <v>185</v>
      </c>
      <c r="B223" t="str">
        <f>"6660"</f>
        <v>6660</v>
      </c>
      <c r="C223" t="str">
        <f>"1864"</f>
        <v>1864</v>
      </c>
      <c r="D223" t="str">
        <f>"Nummisuutarit : komedia 5:ssä näytöksessä"</f>
        <v>Nummisuutarit : komedia 5:ssä näytöksessä</v>
      </c>
      <c r="E223" t="str">
        <f t="shared" si="19"/>
        <v>viro</v>
      </c>
      <c r="F223" t="str">
        <f>"näidendid; draama"</f>
        <v>näidendid; draama</v>
      </c>
      <c r="G223" t="str">
        <f>"  täiskasvanud"</f>
        <v xml:space="preserve">  täiskasvanud</v>
      </c>
      <c r="H223" t="str">
        <f t="shared" si="20"/>
        <v>1957</v>
      </c>
      <c r="I223" t="str">
        <f>"Nõmmekingsepad"</f>
        <v>Nõmmekingsepad</v>
      </c>
      <c r="J223" t="str">
        <f>"Tuglas, Friedebert"</f>
        <v>Tuglas, Friedebert</v>
      </c>
      <c r="K223" t="str">
        <f t="shared" si="21"/>
        <v>Eesti Riiklik Kirjastus, Tallinn</v>
      </c>
      <c r="L223" t="str">
        <f>""</f>
        <v/>
      </c>
      <c r="M223" t="str">
        <f>""</f>
        <v/>
      </c>
    </row>
    <row r="224" spans="1:13" ht="15">
      <c r="A224" t="s">
        <v>241</v>
      </c>
      <c r="B224" t="str">
        <f>"14976"</f>
        <v>14976</v>
      </c>
      <c r="C224" t="str">
        <f>""</f>
        <v/>
      </c>
      <c r="D224" t="str">
        <f>"Tulitikkuja lainaamassa (1910) ; Liika viisas (1915) ; Kuolleista herännyt (1916)"</f>
        <v>Tulitikkuja lainaamassa (1910) ; Liika viisas (1915) ; Kuolleista herännyt (1916)</v>
      </c>
      <c r="E224" t="str">
        <f t="shared" si="19"/>
        <v>viro</v>
      </c>
      <c r="F224" t="str">
        <f>"romaanid; proosa"</f>
        <v>romaanid; proosa</v>
      </c>
      <c r="G224" t="str">
        <f>"  täiskasvanud"</f>
        <v xml:space="preserve">  täiskasvanud</v>
      </c>
      <c r="H224" t="str">
        <f t="shared" si="20"/>
        <v>1957</v>
      </c>
      <c r="I224" t="str">
        <f>"Tuletikke laenamas"</f>
        <v>Tuletikke laenamas</v>
      </c>
      <c r="J224" t="str">
        <f>"Jaakson, E., Lepik, Harald"</f>
        <v>Jaakson, E., Lepik, Harald</v>
      </c>
      <c r="K224" t="str">
        <f t="shared" si="21"/>
        <v>Eesti Riiklik Kirjastus, Tallinn</v>
      </c>
      <c r="L224" t="str">
        <f>""</f>
        <v/>
      </c>
      <c r="M224" t="str">
        <f>""</f>
        <v/>
      </c>
    </row>
    <row r="225" spans="1:13" ht="15">
      <c r="A225" t="s">
        <v>469</v>
      </c>
      <c r="B225" t="str">
        <f>"6742"</f>
        <v>6742</v>
      </c>
      <c r="C225" t="str">
        <f>"1947"</f>
        <v>1947</v>
      </c>
      <c r="D225" t="str">
        <f>"Toveri, älä petä"</f>
        <v>Toveri, älä petä</v>
      </c>
      <c r="E225" t="str">
        <f t="shared" si="19"/>
        <v>viro</v>
      </c>
      <c r="F225" t="str">
        <f>"romaanid; proosa"</f>
        <v>romaanid; proosa</v>
      </c>
      <c r="G225" t="str">
        <f>"  täiskasvanud"</f>
        <v xml:space="preserve">  täiskasvanud</v>
      </c>
      <c r="H225" t="str">
        <f t="shared" si="20"/>
        <v>1957</v>
      </c>
      <c r="I225" t="str">
        <f>"Seltsimees, ära reeda!"</f>
        <v>Seltsimees, ära reeda!</v>
      </c>
      <c r="J225" t="str">
        <f>"Puskar, E."</f>
        <v>Puskar, E.</v>
      </c>
      <c r="K225" t="str">
        <f t="shared" si="21"/>
        <v>Eesti Riiklik Kirjastus, Tallinn</v>
      </c>
      <c r="L225" t="str">
        <f>""</f>
        <v/>
      </c>
      <c r="M225" t="str">
        <f>""</f>
        <v/>
      </c>
    </row>
    <row r="226" spans="1:13" ht="15">
      <c r="A226" t="s">
        <v>519</v>
      </c>
      <c r="B226" t="str">
        <f>"7832"</f>
        <v>7832</v>
      </c>
      <c r="C226" t="str">
        <f>"1858"</f>
        <v>1858</v>
      </c>
      <c r="D226" t="str">
        <f>"Unda Marinas fotspår"</f>
        <v>Unda Marinas fotspår</v>
      </c>
      <c r="E226" t="str">
        <f>"viro, välikieli"</f>
        <v>viro, välikieli</v>
      </c>
      <c r="F226" t="str">
        <f>"muinasjutud; ; proosa"</f>
        <v>muinasjutud; ; proosa</v>
      </c>
      <c r="G226" t="str">
        <f>" lapsed ja noored"</f>
        <v xml:space="preserve"> lapsed ja noored</v>
      </c>
      <c r="H226" t="str">
        <f t="shared" si="20"/>
        <v>1957</v>
      </c>
      <c r="I226" t="str">
        <f>"Aallotari jäljed"</f>
        <v>Aallotari jäljed</v>
      </c>
      <c r="J226" t="str">
        <f>"Viiding, Linda"</f>
        <v>Viiding, Linda</v>
      </c>
      <c r="K226" t="str">
        <f t="shared" si="21"/>
        <v>Eesti Riiklik Kirjastus, Tallinn</v>
      </c>
      <c r="L226" t="str">
        <f>""</f>
        <v/>
      </c>
      <c r="M226" t="str">
        <f>""</f>
        <v/>
      </c>
    </row>
    <row r="227" spans="1:13" ht="15">
      <c r="A227" t="s">
        <v>563</v>
      </c>
      <c r="B227" t="str">
        <f>"6773"</f>
        <v>6773</v>
      </c>
      <c r="C227" t="str">
        <f>"1948"</f>
        <v>1948</v>
      </c>
      <c r="D227" t="str">
        <f>"Mikael Karvajalka"</f>
        <v>Mikael Karvajalka</v>
      </c>
      <c r="E227" t="str">
        <f aca="true" t="shared" si="22" ref="E227:E258">"viro"</f>
        <v>viro</v>
      </c>
      <c r="F227" t="str">
        <f>"romaanid; proosa"</f>
        <v>romaanid; proosa</v>
      </c>
      <c r="G227" t="str">
        <f>"  täiskasvanud"</f>
        <v xml:space="preserve">  täiskasvanud</v>
      </c>
      <c r="H227" t="str">
        <f t="shared" si="20"/>
        <v>1957</v>
      </c>
      <c r="I227" t="str">
        <f>"Mikael Karvajalg"</f>
        <v>Mikael Karvajalg</v>
      </c>
      <c r="J227" t="str">
        <f>"Ingelman, Harry"</f>
        <v>Ingelman, Harry</v>
      </c>
      <c r="K227" t="str">
        <f>"Orto, Toronto"</f>
        <v>Orto, Toronto</v>
      </c>
      <c r="L227" t="str">
        <f>""</f>
        <v/>
      </c>
      <c r="M227" t="str">
        <f>""</f>
        <v/>
      </c>
    </row>
    <row r="228" spans="1:13" ht="15">
      <c r="A228" t="s">
        <v>147</v>
      </c>
      <c r="B228" t="str">
        <f>"10790"</f>
        <v>10790</v>
      </c>
      <c r="C228" t="str">
        <f>"1955"</f>
        <v>1955</v>
      </c>
      <c r="D228" t="str">
        <f>"Päiväkirja vuosilta 1922-1926"</f>
        <v>Päiväkirja vuosilta 1922-1926</v>
      </c>
      <c r="E228" t="str">
        <f t="shared" si="22"/>
        <v>viro</v>
      </c>
      <c r="F228" t="str">
        <f>""</f>
        <v/>
      </c>
      <c r="G228" t="str">
        <f>"  täiskasvanud"</f>
        <v xml:space="preserve">  täiskasvanud</v>
      </c>
      <c r="H228" t="str">
        <f>"1958"</f>
        <v>1958</v>
      </c>
      <c r="I228" t="str">
        <f>"Suurlinnade udus ja säras"</f>
        <v>Suurlinnade udus ja säras</v>
      </c>
      <c r="J228" t="str">
        <f>"Eller, Helmi"</f>
        <v>Eller, Helmi</v>
      </c>
      <c r="K228" t="str">
        <f>"Eesti Kirjanike Kooperatiiv, Lund"</f>
        <v>Eesti Kirjanike Kooperatiiv, Lund</v>
      </c>
      <c r="L228" t="str">
        <f>""</f>
        <v/>
      </c>
      <c r="M228" t="str">
        <f>""</f>
        <v/>
      </c>
    </row>
    <row r="229" spans="1:13" ht="15">
      <c r="A229" t="s">
        <v>272</v>
      </c>
      <c r="B229" t="str">
        <f>"6691"</f>
        <v>6691</v>
      </c>
      <c r="C229" t="str">
        <f>"1948"</f>
        <v>1948</v>
      </c>
      <c r="D229" t="str">
        <f>"Musta rakkaus : romaani"</f>
        <v>Musta rakkaus : romaani</v>
      </c>
      <c r="E229" t="str">
        <f t="shared" si="22"/>
        <v>viro</v>
      </c>
      <c r="F229" t="str">
        <f>"romaanid; proosa"</f>
        <v>romaanid; proosa</v>
      </c>
      <c r="G229" t="str">
        <f>"  täiskasvanud"</f>
        <v xml:space="preserve">  täiskasvanud</v>
      </c>
      <c r="H229" t="str">
        <f>"1958"</f>
        <v>1958</v>
      </c>
      <c r="I229" t="str">
        <f>"Must armastus"</f>
        <v>Must armastus</v>
      </c>
      <c r="J229" t="str">
        <f>"Ristkok, Valve"</f>
        <v>Ristkok, Valve</v>
      </c>
      <c r="K229" t="str">
        <f>"Orto, Toronto"</f>
        <v>Orto, Toronto</v>
      </c>
      <c r="L229" t="str">
        <f>""</f>
        <v/>
      </c>
      <c r="M229" t="str">
        <f>""</f>
        <v/>
      </c>
    </row>
    <row r="230" spans="1:13" ht="15">
      <c r="A230" t="s">
        <v>284</v>
      </c>
      <c r="B230" t="str">
        <f>"6697"</f>
        <v>6697</v>
      </c>
      <c r="C230" t="str">
        <f>"1952"</f>
        <v>1952</v>
      </c>
      <c r="D230" t="str">
        <f>"Maaton mies : novelleja ja jutelmia"</f>
        <v>Maaton mies : novelleja ja jutelmia</v>
      </c>
      <c r="E230" t="str">
        <f t="shared" si="22"/>
        <v>viro</v>
      </c>
      <c r="F230" t="str">
        <f>"lühiproosa, proosa"</f>
        <v>lühiproosa, proosa</v>
      </c>
      <c r="G230" t="str">
        <f>"  täiskasvanud"</f>
        <v xml:space="preserve">  täiskasvanud</v>
      </c>
      <c r="H230" t="str">
        <f>"1958"</f>
        <v>1958</v>
      </c>
      <c r="I230" t="str">
        <f>"Tema Majesteet ja teisi novelle ning jutte"</f>
        <v>Tema Majesteet ja teisi novelle ning jutte</v>
      </c>
      <c r="J230" t="str">
        <f>"Lepik, Harald"</f>
        <v>Lepik, Harald</v>
      </c>
      <c r="K230" t="str">
        <f>"Ajalehtede-Ajakirjade Kirjastus, Tallinn"</f>
        <v>Ajalehtede-Ajakirjade Kirjastus, Tallinn</v>
      </c>
      <c r="L230" t="str">
        <f>""</f>
        <v/>
      </c>
      <c r="M230" t="str">
        <f>""</f>
        <v/>
      </c>
    </row>
    <row r="231" spans="1:13" ht="15">
      <c r="A231" t="s">
        <v>563</v>
      </c>
      <c r="B231" t="str">
        <f>"10338"</f>
        <v>10338</v>
      </c>
      <c r="C231" t="str">
        <f>"1949"</f>
        <v>1949</v>
      </c>
      <c r="D231" t="str">
        <f>"Mikael Hakim"</f>
        <v>Mikael Hakim</v>
      </c>
      <c r="E231" t="str">
        <f t="shared" si="22"/>
        <v>viro</v>
      </c>
      <c r="F231" t="str">
        <f>"romaanid; proosa"</f>
        <v>romaanid; proosa</v>
      </c>
      <c r="G231" t="str">
        <f>"  täiskasvanud"</f>
        <v xml:space="preserve">  täiskasvanud</v>
      </c>
      <c r="H231" t="str">
        <f>"1958"</f>
        <v>1958</v>
      </c>
      <c r="I231" t="str">
        <f>"Mikael Hakim. 1"</f>
        <v>Mikael Hakim. 1</v>
      </c>
      <c r="J231" t="str">
        <f>"Ristkok, Valve"</f>
        <v>Ristkok, Valve</v>
      </c>
      <c r="K231" t="str">
        <f>"Orto, Göteborg"</f>
        <v>Orto, Göteborg</v>
      </c>
      <c r="L231" t="str">
        <f>""</f>
        <v/>
      </c>
      <c r="M231" t="str">
        <f>""</f>
        <v/>
      </c>
    </row>
    <row r="232" spans="1:13" ht="15">
      <c r="A232" t="s">
        <v>563</v>
      </c>
      <c r="B232" t="str">
        <f>"10339"</f>
        <v>10339</v>
      </c>
      <c r="C232" t="str">
        <f>"1949"</f>
        <v>1949</v>
      </c>
      <c r="D232" t="str">
        <f>"Mikael Hakim"</f>
        <v>Mikael Hakim</v>
      </c>
      <c r="E232" t="str">
        <f t="shared" si="22"/>
        <v>viro</v>
      </c>
      <c r="F232" t="str">
        <f>"romaanid; proosa"</f>
        <v>romaanid; proosa</v>
      </c>
      <c r="G232" t="str">
        <f>"  täiskasvanud"</f>
        <v xml:space="preserve">  täiskasvanud</v>
      </c>
      <c r="H232" t="str">
        <f>"1958"</f>
        <v>1958</v>
      </c>
      <c r="I232" t="str">
        <f>"Mikael Hakim. 2"</f>
        <v>Mikael Hakim. 2</v>
      </c>
      <c r="J232" t="str">
        <f>"Ristkok, Valve"</f>
        <v>Ristkok, Valve</v>
      </c>
      <c r="K232" t="str">
        <f>"Orto, Göteborg"</f>
        <v>Orto, Göteborg</v>
      </c>
      <c r="L232" t="str">
        <f>""</f>
        <v/>
      </c>
      <c r="M232" t="str">
        <f>""</f>
        <v/>
      </c>
    </row>
    <row r="233" spans="1:13" ht="15">
      <c r="A233" t="s">
        <v>92</v>
      </c>
      <c r="B233" t="str">
        <f>"6612"</f>
        <v>6612</v>
      </c>
      <c r="C233" t="str">
        <f>"1952"</f>
        <v>1952</v>
      </c>
      <c r="D233" t="str">
        <f>"Havukka-ahon ajattelija"</f>
        <v>Havukka-ahon ajattelija</v>
      </c>
      <c r="E233" t="str">
        <f t="shared" si="22"/>
        <v>viro</v>
      </c>
      <c r="F233" t="str">
        <f>"romaanid; proosa"</f>
        <v>romaanid; proosa</v>
      </c>
      <c r="G233" t="str">
        <f>"  täiskasvanud"</f>
        <v xml:space="preserve">  täiskasvanud</v>
      </c>
      <c r="H233" t="str">
        <f>"1959"</f>
        <v>1959</v>
      </c>
      <c r="I233" t="str">
        <f>"Havukka-aho mõtleja"</f>
        <v>Havukka-aho mõtleja</v>
      </c>
      <c r="J233" t="str">
        <f>"Lepik, Harald"</f>
        <v>Lepik, Harald</v>
      </c>
      <c r="K233" t="str">
        <f>"Ajalehtede-Ajakirjade Kirjastus, Tallinn"</f>
        <v>Ajalehtede-Ajakirjade Kirjastus, Tallinn</v>
      </c>
      <c r="L233" t="str">
        <f>""</f>
        <v/>
      </c>
      <c r="M233" t="str">
        <f>""</f>
        <v/>
      </c>
    </row>
    <row r="234" spans="1:13" ht="15">
      <c r="A234" t="s">
        <v>292</v>
      </c>
      <c r="B234" t="str">
        <f>"10547"</f>
        <v>10547</v>
      </c>
      <c r="C234" t="str">
        <f>"1849"</f>
        <v>1849</v>
      </c>
      <c r="D234" t="str">
        <f>"Kalevala"</f>
        <v>Kalevala</v>
      </c>
      <c r="E234" t="str">
        <f t="shared" si="22"/>
        <v>viro</v>
      </c>
      <c r="F234" t="str">
        <f>"luule, rahvaluule"</f>
        <v>luule, rahvaluule</v>
      </c>
      <c r="G234" t="str">
        <f>"  täiskasvanud"</f>
        <v xml:space="preserve">  täiskasvanud</v>
      </c>
      <c r="H234" t="str">
        <f>"1959"</f>
        <v>1959</v>
      </c>
      <c r="I234" t="str">
        <f>"Kalevala"</f>
        <v>Kalevala</v>
      </c>
      <c r="J234" t="str">
        <f>"Annist, August"</f>
        <v>Annist, August</v>
      </c>
      <c r="K234" t="str">
        <f>"Eesti Riiklik Kirjastus, Tallinn"</f>
        <v>Eesti Riiklik Kirjastus, Tallinn</v>
      </c>
      <c r="L234" t="str">
        <f>""</f>
        <v/>
      </c>
      <c r="M234" t="str">
        <f>""</f>
        <v/>
      </c>
    </row>
    <row r="235" spans="1:13" ht="15">
      <c r="A235" t="s">
        <v>537</v>
      </c>
      <c r="B235" t="str">
        <f>"6767"</f>
        <v>6767</v>
      </c>
      <c r="C235" t="str">
        <f>""</f>
        <v/>
      </c>
      <c r="D235" t="str">
        <f>""</f>
        <v/>
      </c>
      <c r="E235" t="str">
        <f t="shared" si="22"/>
        <v>viro</v>
      </c>
      <c r="F235" t="str">
        <f>"luule, lüürika"</f>
        <v>luule, lüürika</v>
      </c>
      <c r="G235" t="str">
        <f>"  täiskasvanud"</f>
        <v xml:space="preserve">  täiskasvanud</v>
      </c>
      <c r="H235" t="str">
        <f>"1959"</f>
        <v>1959</v>
      </c>
      <c r="I235" t="str">
        <f>"Maa rinnal"</f>
        <v>Maa rinnal</v>
      </c>
      <c r="J235" t="str">
        <f>"Vaarandi, Debora"</f>
        <v>Vaarandi, Debora</v>
      </c>
      <c r="K235" t="str">
        <f>"Loomingu raamatukogu, Tallinn"</f>
        <v>Loomingu raamatukogu, Tallinn</v>
      </c>
      <c r="L235" t="str">
        <f>""</f>
        <v/>
      </c>
      <c r="M235" t="str">
        <f>""</f>
        <v/>
      </c>
    </row>
    <row r="236" spans="1:13" ht="15">
      <c r="A236" t="s">
        <v>563</v>
      </c>
      <c r="B236" t="str">
        <f>"8477"</f>
        <v>8477</v>
      </c>
      <c r="C236" t="str">
        <f>"1955"</f>
        <v>1955</v>
      </c>
      <c r="D236" t="str">
        <f>"Turms, kuolematon"</f>
        <v>Turms, kuolematon</v>
      </c>
      <c r="E236" t="str">
        <f t="shared" si="22"/>
        <v>viro</v>
      </c>
      <c r="F236" t="str">
        <f>"romaanid; proosa"</f>
        <v>romaanid; proosa</v>
      </c>
      <c r="G236" t="str">
        <f>"  täiskasvanud"</f>
        <v xml:space="preserve">  täiskasvanud</v>
      </c>
      <c r="H236" t="str">
        <f>"1959"</f>
        <v>1959</v>
      </c>
      <c r="I236" t="str">
        <f>"Turms, surematu"</f>
        <v>Turms, surematu</v>
      </c>
      <c r="J236" t="str">
        <f>"Aavik, Johannes"</f>
        <v>Aavik, Johannes</v>
      </c>
      <c r="K236" t="str">
        <f>"Orto, Toronto"</f>
        <v>Orto, Toronto</v>
      </c>
      <c r="L236" t="str">
        <f>""</f>
        <v/>
      </c>
      <c r="M236" t="str">
        <f>""</f>
        <v/>
      </c>
    </row>
    <row r="237" spans="1:13" ht="15">
      <c r="A237" t="s">
        <v>563</v>
      </c>
      <c r="B237" t="str">
        <f>"8462"</f>
        <v>8462</v>
      </c>
      <c r="C237" t="str">
        <f>"1955"</f>
        <v>1955</v>
      </c>
      <c r="D237" t="str">
        <f>"Turms, kuolematon"</f>
        <v>Turms, kuolematon</v>
      </c>
      <c r="E237" t="str">
        <f t="shared" si="22"/>
        <v>viro</v>
      </c>
      <c r="F237" t="str">
        <f>"romaanid; proosa"</f>
        <v>romaanid; proosa</v>
      </c>
      <c r="G237" t="str">
        <f>"  täiskasvanud"</f>
        <v xml:space="preserve">  täiskasvanud</v>
      </c>
      <c r="H237" t="str">
        <f>"1959"</f>
        <v>1959</v>
      </c>
      <c r="I237" t="str">
        <f>"Turms, surematu"</f>
        <v>Turms, surematu</v>
      </c>
      <c r="J237" t="str">
        <f>"Aavik, Johannes"</f>
        <v>Aavik, Johannes</v>
      </c>
      <c r="K237" t="str">
        <f>"Orto, Toronto"</f>
        <v>Orto, Toronto</v>
      </c>
      <c r="L237" t="str">
        <f>""</f>
        <v/>
      </c>
      <c r="M237" t="str">
        <f>""</f>
        <v/>
      </c>
    </row>
    <row r="238" spans="1:13" ht="15">
      <c r="A238" t="s">
        <v>5</v>
      </c>
      <c r="B238" t="str">
        <f>"6573"</f>
        <v>6573</v>
      </c>
      <c r="C238" t="str">
        <f>"1954"</f>
        <v>1954</v>
      </c>
      <c r="D238" t="str">
        <f>"Meidän Herramme muurahaisia"</f>
        <v>Meidän Herramme muurahaisia</v>
      </c>
      <c r="E238" t="str">
        <f t="shared" si="22"/>
        <v>viro</v>
      </c>
      <c r="F238" t="str">
        <f>"lühiproosa, proosa"</f>
        <v>lühiproosa, proosa</v>
      </c>
      <c r="G238" t="str">
        <f>"  täiskasvanud"</f>
        <v xml:space="preserve">  täiskasvanud</v>
      </c>
      <c r="H238" t="str">
        <f>"1960"</f>
        <v>1960</v>
      </c>
      <c r="I238" t="str">
        <f>"Meie issanda sipelgad"</f>
        <v>Meie issanda sipelgad</v>
      </c>
      <c r="J238" t="str">
        <f>"Lepik, Harald"</f>
        <v>Lepik, Harald</v>
      </c>
      <c r="K238" t="str">
        <f>"Ajalehtede-Ajakirjade Kirjastus, Tallinn"</f>
        <v>Ajalehtede-Ajakirjade Kirjastus, Tallinn</v>
      </c>
      <c r="L238" t="str">
        <f>""</f>
        <v/>
      </c>
      <c r="M238" t="str">
        <f>""</f>
        <v/>
      </c>
    </row>
    <row r="239" spans="1:13" ht="15">
      <c r="A239" t="s">
        <v>38</v>
      </c>
      <c r="B239" t="str">
        <f>"6597"</f>
        <v>6597</v>
      </c>
      <c r="C239" t="str">
        <f>""</f>
        <v/>
      </c>
      <c r="D239" t="str">
        <f>""</f>
        <v/>
      </c>
      <c r="E239" t="str">
        <f t="shared" si="22"/>
        <v>viro</v>
      </c>
      <c r="F239" t="str">
        <f>"lühiproosa, proosa"</f>
        <v>lühiproosa, proosa</v>
      </c>
      <c r="G239" t="str">
        <f>"  täiskasvanud"</f>
        <v xml:space="preserve">  täiskasvanud</v>
      </c>
      <c r="H239" t="str">
        <f>"1960"</f>
        <v>1960</v>
      </c>
      <c r="I239" t="str">
        <f>"Vaene rahvas"</f>
        <v>Vaene rahvas</v>
      </c>
      <c r="J239" t="str">
        <f>"Huik, Toomas"</f>
        <v>Huik, Toomas</v>
      </c>
      <c r="K239" t="str">
        <f>"Eesti Riiklik Kirjastus, Tallinn"</f>
        <v>Eesti Riiklik Kirjastus, Tallinn</v>
      </c>
      <c r="L239" t="str">
        <f>""</f>
        <v/>
      </c>
      <c r="M239" t="str">
        <f>""</f>
        <v/>
      </c>
    </row>
    <row r="240" spans="1:13" ht="15">
      <c r="A240" t="s">
        <v>147</v>
      </c>
      <c r="B240" t="str">
        <f>"10811"</f>
        <v>10811</v>
      </c>
      <c r="C240" t="str">
        <f>"1956"</f>
        <v>1956</v>
      </c>
      <c r="D240" t="str">
        <f>"Päiväkirja vuosilta 1927-1931"</f>
        <v>Päiväkirja vuosilta 1927-1931</v>
      </c>
      <c r="E240" t="str">
        <f t="shared" si="22"/>
        <v>viro</v>
      </c>
      <c r="F240" t="str">
        <f>""</f>
        <v/>
      </c>
      <c r="G240" t="str">
        <f>"  täiskasvanud"</f>
        <v xml:space="preserve">  täiskasvanud</v>
      </c>
      <c r="H240" t="str">
        <f>"1960"</f>
        <v>1960</v>
      </c>
      <c r="I240" t="str">
        <f>"Pööripäevad"</f>
        <v>Pööripäevad</v>
      </c>
      <c r="J240" t="str">
        <f>"Eller, Helmi"</f>
        <v>Eller, Helmi</v>
      </c>
      <c r="K240" t="str">
        <f>"Eesti Kirjanike Kooperatiiv, Lund"</f>
        <v>Eesti Kirjanike Kooperatiiv, Lund</v>
      </c>
      <c r="L240" t="str">
        <f>""</f>
        <v/>
      </c>
      <c r="M240" t="str">
        <f>""</f>
        <v/>
      </c>
    </row>
    <row r="241" spans="1:13" ht="15">
      <c r="A241" t="s">
        <v>369</v>
      </c>
      <c r="B241" t="str">
        <f>"6716"</f>
        <v>6716</v>
      </c>
      <c r="C241" t="str">
        <f>"1957"</f>
        <v>1957</v>
      </c>
      <c r="D241" t="str">
        <f>"Teokset 1-2. Muistopainos"</f>
        <v>Teokset 1-2. Muistopainos</v>
      </c>
      <c r="E241" t="str">
        <f t="shared" si="22"/>
        <v>viro</v>
      </c>
      <c r="F241" t="str">
        <f>"lühiproosa, proosa"</f>
        <v>lühiproosa, proosa</v>
      </c>
      <c r="G241" t="str">
        <f>"  täiskasvanud"</f>
        <v xml:space="preserve">  täiskasvanud</v>
      </c>
      <c r="H241" t="str">
        <f>"1960"</f>
        <v>1960</v>
      </c>
      <c r="I241" t="str">
        <f>"Raudsete käte usk : jutustusi, novelle, laaste"</f>
        <v>Raudsete käte usk : jutustusi, novelle, laaste</v>
      </c>
      <c r="J241" t="str">
        <f>"Lepik, Harald"</f>
        <v>Lepik, Harald</v>
      </c>
      <c r="K241" t="str">
        <f>"Eesti Riiklik Kirjastus, Tallinn"</f>
        <v>Eesti Riiklik Kirjastus, Tallinn</v>
      </c>
      <c r="L241" t="str">
        <f>""</f>
        <v/>
      </c>
      <c r="M241" t="str">
        <f>""</f>
        <v/>
      </c>
    </row>
    <row r="242" spans="1:13" ht="15">
      <c r="A242" t="s">
        <v>464</v>
      </c>
      <c r="B242" t="str">
        <f>"6732"</f>
        <v>6732</v>
      </c>
      <c r="C242" t="str">
        <f>""</f>
        <v/>
      </c>
      <c r="D242" t="str">
        <f>""</f>
        <v/>
      </c>
      <c r="E242" t="str">
        <f t="shared" si="22"/>
        <v>viro</v>
      </c>
      <c r="F242" t="str">
        <f>"lühiproosa, proosa"</f>
        <v>lühiproosa, proosa</v>
      </c>
      <c r="G242" t="str">
        <f>"  täiskasvanud"</f>
        <v xml:space="preserve">  täiskasvanud</v>
      </c>
      <c r="H242" t="str">
        <f>"1960"</f>
        <v>1960</v>
      </c>
      <c r="I242" t="str">
        <f>"Sinise jakiga tüdruk"</f>
        <v>Sinise jakiga tüdruk</v>
      </c>
      <c r="J242" t="str">
        <f>"Lepik, Harald"</f>
        <v>Lepik, Harald</v>
      </c>
      <c r="K242" t="str">
        <f>"Ajalehtede-Ajakirjade Kirjastus, Tallinn"</f>
        <v>Ajalehtede-Ajakirjade Kirjastus, Tallinn</v>
      </c>
      <c r="L242" t="str">
        <f>""</f>
        <v/>
      </c>
      <c r="M242" t="str">
        <f>""</f>
        <v/>
      </c>
    </row>
    <row r="243" spans="1:13" ht="15">
      <c r="A243" t="s">
        <v>240</v>
      </c>
      <c r="B243" t="str">
        <f>"6675"</f>
        <v>6675</v>
      </c>
      <c r="C243" t="str">
        <f>"1959"</f>
        <v>1959</v>
      </c>
      <c r="D243" t="str">
        <f>"Kaunis sikopaimen eli Talousneuvos Minna Karlsson-Kanasen muistelmia ("</f>
        <v>Kaunis sikopaimen eli Talousneuvos Minna Karlsson-Kanasen muistelmia (</v>
      </c>
      <c r="E243" t="str">
        <f t="shared" si="22"/>
        <v>viro</v>
      </c>
      <c r="F243" t="str">
        <f>"romaanid; proosa"</f>
        <v>romaanid; proosa</v>
      </c>
      <c r="G243" t="str">
        <f>"  täiskasvanud"</f>
        <v xml:space="preserve">  täiskasvanud</v>
      </c>
      <c r="H243" t="str">
        <f>"1961"</f>
        <v>1961</v>
      </c>
      <c r="I243" t="str">
        <f>"Ilus seakarjus ehk majandusnõunik Minna Karlsson-Kanase mälestused"</f>
        <v>Ilus seakarjus ehk majandusnõunik Minna Karlsson-Kanase mälestused</v>
      </c>
      <c r="J243" t="str">
        <f>"Lepik, Harald"</f>
        <v>Lepik, Harald</v>
      </c>
      <c r="K243" t="str">
        <f>"Ajalehtede-Ajakirjade Kirjastus, Tallinn"</f>
        <v>Ajalehtede-Ajakirjade Kirjastus, Tallinn</v>
      </c>
      <c r="L243" t="str">
        <f>""</f>
        <v/>
      </c>
      <c r="M243" t="str">
        <f>""</f>
        <v/>
      </c>
    </row>
    <row r="244" spans="1:13" ht="15">
      <c r="A244" t="s">
        <v>240</v>
      </c>
      <c r="B244" t="str">
        <f>"10791"</f>
        <v>10791</v>
      </c>
      <c r="C244" t="str">
        <f>"1957"</f>
        <v>1957</v>
      </c>
      <c r="D244" t="str">
        <f>"Neljäs nikama, eli, Veijari vastoin tahtoaan"</f>
        <v>Neljäs nikama, eli, Veijari vastoin tahtoaan</v>
      </c>
      <c r="E244" t="str">
        <f t="shared" si="22"/>
        <v>viro</v>
      </c>
      <c r="F244" t="str">
        <f>"romaanid; proosa"</f>
        <v>romaanid; proosa</v>
      </c>
      <c r="G244" t="str">
        <f>"  täiskasvanud"</f>
        <v xml:space="preserve">  täiskasvanud</v>
      </c>
      <c r="H244" t="str">
        <f>"1961"</f>
        <v>1961</v>
      </c>
      <c r="I244" t="str">
        <f>"Neljas selgroolüli, ehk, Kelm vastu tahtmist"</f>
        <v>Neljas selgroolüli, ehk, Kelm vastu tahtmist</v>
      </c>
      <c r="J244" t="str">
        <f>"Seilenthal, J."</f>
        <v>Seilenthal, J.</v>
      </c>
      <c r="K244" t="str">
        <f>"Eesti Riiklik Kirjastus, Tallinn"</f>
        <v>Eesti Riiklik Kirjastus, Tallinn</v>
      </c>
      <c r="L244" t="str">
        <f>""</f>
        <v/>
      </c>
      <c r="M244" t="str">
        <f>""</f>
        <v/>
      </c>
    </row>
    <row r="245" spans="1:13" ht="15">
      <c r="A245" t="s">
        <v>396</v>
      </c>
      <c r="B245" t="str">
        <f>"6723"</f>
        <v>6723</v>
      </c>
      <c r="C245" t="str">
        <f>"1944"</f>
        <v>1944</v>
      </c>
      <c r="D245" t="str">
        <f>"Minä olin pikkuinen vielä : lapsekkaita jutelmia"</f>
        <v>Minä olin pikkuinen vielä : lapsekkaita jutelmia</v>
      </c>
      <c r="E245" t="str">
        <f t="shared" si="22"/>
        <v>viro</v>
      </c>
      <c r="F245" t="str">
        <f>"lühiproosa, proosa"</f>
        <v>lühiproosa, proosa</v>
      </c>
      <c r="G245" t="str">
        <f>"  täiskasvanud"</f>
        <v xml:space="preserve">  täiskasvanud</v>
      </c>
      <c r="H245" t="str">
        <f>"1961"</f>
        <v>1961</v>
      </c>
      <c r="I245" t="str">
        <f>"Mina olin veel väikene"</f>
        <v>Mina olin veel väikene</v>
      </c>
      <c r="J245" t="str">
        <f>"Lepik, Harald"</f>
        <v>Lepik, Harald</v>
      </c>
      <c r="K245" t="str">
        <f>"Ajalehtede-Ajakirjade Kirjastus, Tallinn"</f>
        <v>Ajalehtede-Ajakirjade Kirjastus, Tallinn</v>
      </c>
      <c r="L245" t="str">
        <f>""</f>
        <v/>
      </c>
      <c r="M245" t="str">
        <f>""</f>
        <v/>
      </c>
    </row>
    <row r="246" spans="1:13" ht="15">
      <c r="A246" t="s">
        <v>206</v>
      </c>
      <c r="B246" t="str">
        <f>"6670"</f>
        <v>6670</v>
      </c>
      <c r="C246" t="str">
        <f>"1960"</f>
        <v>1960</v>
      </c>
      <c r="D246" t="str">
        <f>"Tunnustus"</f>
        <v>Tunnustus</v>
      </c>
      <c r="E246" t="str">
        <f t="shared" si="22"/>
        <v>viro</v>
      </c>
      <c r="F246" t="str">
        <f>"romaanid; proosa"</f>
        <v>romaanid; proosa</v>
      </c>
      <c r="G246" t="str">
        <f>"  täiskasvanud"</f>
        <v xml:space="preserve">  täiskasvanud</v>
      </c>
      <c r="H246" t="str">
        <f>"1962"</f>
        <v>1962</v>
      </c>
      <c r="I246" t="str">
        <f>"Pihtimus"</f>
        <v>Pihtimus</v>
      </c>
      <c r="J246" t="str">
        <f>"Ingelman, Harry"</f>
        <v>Ingelman, Harry</v>
      </c>
      <c r="K246" t="str">
        <f>"Orto, Toronto"</f>
        <v>Orto, Toronto</v>
      </c>
      <c r="L246" t="str">
        <f>""</f>
        <v/>
      </c>
      <c r="M246" t="str">
        <f>""</f>
        <v/>
      </c>
    </row>
    <row r="247" spans="1:13" ht="15">
      <c r="A247" t="s">
        <v>272</v>
      </c>
      <c r="B247" t="str">
        <f>"10322"</f>
        <v>10322</v>
      </c>
      <c r="C247" t="str">
        <f>"1959"</f>
        <v>1959</v>
      </c>
      <c r="D247" t="str">
        <f>"Täällä Pohjantähden alla. 1"</f>
        <v>Täällä Pohjantähden alla. 1</v>
      </c>
      <c r="E247" t="str">
        <f t="shared" si="22"/>
        <v>viro</v>
      </c>
      <c r="F247" t="str">
        <f>"romaanid; proosa"</f>
        <v>romaanid; proosa</v>
      </c>
      <c r="G247" t="str">
        <f>"  täiskasvanud"</f>
        <v xml:space="preserve">  täiskasvanud</v>
      </c>
      <c r="H247" t="str">
        <f>"1962"</f>
        <v>1962</v>
      </c>
      <c r="I247" t="str">
        <f>"Siin Põhjatähe all. 1"</f>
        <v>Siin Põhjatähe all. 1</v>
      </c>
      <c r="J247" t="str">
        <f>"Eller, Helmi"</f>
        <v>Eller, Helmi</v>
      </c>
      <c r="K247" t="str">
        <f>"Vaba Eesti, Stockholm"</f>
        <v>Vaba Eesti, Stockholm</v>
      </c>
      <c r="L247" t="str">
        <f>""</f>
        <v/>
      </c>
      <c r="M247" t="str">
        <f>""</f>
        <v/>
      </c>
    </row>
    <row r="248" spans="1:13" ht="15">
      <c r="A248" t="s">
        <v>414</v>
      </c>
      <c r="B248" t="str">
        <f>"6726"</f>
        <v>6726</v>
      </c>
      <c r="C248" t="str">
        <f>"1961"</f>
        <v>1961</v>
      </c>
      <c r="D248" t="str">
        <f>"Kenen on syy?"</f>
        <v>Kenen on syy?</v>
      </c>
      <c r="E248" t="str">
        <f t="shared" si="22"/>
        <v>viro</v>
      </c>
      <c r="F248" t="str">
        <f>"romaanid; proosa"</f>
        <v>romaanid; proosa</v>
      </c>
      <c r="G248" t="str">
        <f>"  täiskasvanud"</f>
        <v xml:space="preserve">  täiskasvanud</v>
      </c>
      <c r="H248" t="str">
        <f>"1962"</f>
        <v>1962</v>
      </c>
      <c r="I248" t="str">
        <f>"Kes on süüdi?"</f>
        <v>Kes on süüdi?</v>
      </c>
      <c r="J248" t="str">
        <f>"Uibopuu, Valev"</f>
        <v>Uibopuu, Valev</v>
      </c>
      <c r="K248" t="str">
        <f>"Vaba Eesti, Stockholm"</f>
        <v>Vaba Eesti, Stockholm</v>
      </c>
      <c r="L248" t="str">
        <f>""</f>
        <v/>
      </c>
      <c r="M248" t="str">
        <f>""</f>
        <v/>
      </c>
    </row>
    <row r="249" spans="1:13" ht="15">
      <c r="A249" t="s">
        <v>563</v>
      </c>
      <c r="B249" t="str">
        <f>"6769"</f>
        <v>6769</v>
      </c>
      <c r="C249" t="str">
        <f>"1944"</f>
        <v>1944</v>
      </c>
      <c r="D249" t="str">
        <f>"Ei koskaan huomispäivää"</f>
        <v>Ei koskaan huomispäivää</v>
      </c>
      <c r="E249" t="str">
        <f t="shared" si="22"/>
        <v>viro</v>
      </c>
      <c r="F249" t="str">
        <f>"romaanid; proosa"</f>
        <v>romaanid; proosa</v>
      </c>
      <c r="G249" t="str">
        <f>"  täiskasvanud"</f>
        <v xml:space="preserve">  täiskasvanud</v>
      </c>
      <c r="H249" t="str">
        <f>"1962"</f>
        <v>1962</v>
      </c>
      <c r="I249" t="str">
        <f>"Ei ole homset päeva"</f>
        <v>Ei ole homset päeva</v>
      </c>
      <c r="J249" t="str">
        <f>"Ingelman, Harry"</f>
        <v>Ingelman, Harry</v>
      </c>
      <c r="K249" t="str">
        <f>"Orto, Toronto"</f>
        <v>Orto, Toronto</v>
      </c>
      <c r="L249" t="str">
        <f>""</f>
        <v/>
      </c>
      <c r="M249" t="str">
        <f>""</f>
        <v/>
      </c>
    </row>
    <row r="250" spans="1:13" ht="15">
      <c r="A250" t="s">
        <v>123</v>
      </c>
      <c r="B250" t="str">
        <f>"6623"</f>
        <v>6623</v>
      </c>
      <c r="C250" t="str">
        <f>"1960"</f>
        <v>1960</v>
      </c>
      <c r="D250" t="str">
        <f>"Aavekoira : eränovelleja"</f>
        <v>Aavekoira : eränovelleja</v>
      </c>
      <c r="E250" t="str">
        <f t="shared" si="22"/>
        <v>viro</v>
      </c>
      <c r="F250" t="str">
        <f>"lühiproosa, proosa"</f>
        <v>lühiproosa, proosa</v>
      </c>
      <c r="G250" t="str">
        <f>"  täiskasvanud"</f>
        <v xml:space="preserve">  täiskasvanud</v>
      </c>
      <c r="H250" t="str">
        <f aca="true" t="shared" si="23" ref="H250:H257">"1963"</f>
        <v>1963</v>
      </c>
      <c r="I250" t="str">
        <f>"Kummituskoer"</f>
        <v>Kummituskoer</v>
      </c>
      <c r="J250" t="str">
        <f>"Lepik, Harald"</f>
        <v>Lepik, Harald</v>
      </c>
      <c r="K250" t="str">
        <f>"Ajalehtede-Ajakirjade Kirjastus, Tallinn"</f>
        <v>Ajalehtede-Ajakirjade Kirjastus, Tallinn</v>
      </c>
      <c r="L250" t="str">
        <f>""</f>
        <v/>
      </c>
      <c r="M250" t="str">
        <f>""</f>
        <v/>
      </c>
    </row>
    <row r="251" spans="1:13" ht="15">
      <c r="A251" t="s">
        <v>180</v>
      </c>
      <c r="B251" t="str">
        <f>"6656"</f>
        <v>6656</v>
      </c>
      <c r="C251" t="str">
        <f>"1962"</f>
        <v>1962</v>
      </c>
      <c r="D251" t="str">
        <f>"Nainen kuvastimessa"</f>
        <v>Nainen kuvastimessa</v>
      </c>
      <c r="E251" t="str">
        <f t="shared" si="22"/>
        <v>viro</v>
      </c>
      <c r="F251" t="str">
        <f>"romaanid; proosa"</f>
        <v>romaanid; proosa</v>
      </c>
      <c r="G251" t="str">
        <f>"  täiskasvanud"</f>
        <v xml:space="preserve">  täiskasvanud</v>
      </c>
      <c r="H251" t="str">
        <f t="shared" si="23"/>
        <v>1963</v>
      </c>
      <c r="I251" t="str">
        <f>"Naine peeglis"</f>
        <v>Naine peeglis</v>
      </c>
      <c r="J251" t="str">
        <f>"Ingelman, Harry"</f>
        <v>Ingelman, Harry</v>
      </c>
      <c r="K251" t="str">
        <f>"Orto, Toronto"</f>
        <v>Orto, Toronto</v>
      </c>
      <c r="L251" t="str">
        <f>""</f>
        <v/>
      </c>
      <c r="M251" t="str">
        <f>""</f>
        <v/>
      </c>
    </row>
    <row r="252" spans="1:13" ht="15">
      <c r="A252" t="s">
        <v>492</v>
      </c>
      <c r="B252" t="str">
        <f>"6756"</f>
        <v>6756</v>
      </c>
      <c r="C252" t="str">
        <f>"1956"</f>
        <v>1956</v>
      </c>
      <c r="D252" t="str">
        <f>"Hyvä on elämä"</f>
        <v>Hyvä on elämä</v>
      </c>
      <c r="E252" t="str">
        <f t="shared" si="22"/>
        <v>viro</v>
      </c>
      <c r="F252" t="str">
        <f>"romaanid; proosa"</f>
        <v>romaanid; proosa</v>
      </c>
      <c r="G252" t="str">
        <f>"  täiskasvanud"</f>
        <v xml:space="preserve">  täiskasvanud</v>
      </c>
      <c r="H252" t="str">
        <f t="shared" si="23"/>
        <v>1963</v>
      </c>
      <c r="I252" t="str">
        <f>"Elu on ilus"</f>
        <v>Elu on ilus</v>
      </c>
      <c r="J252" t="str">
        <f>"Ingelman, Harry"</f>
        <v>Ingelman, Harry</v>
      </c>
      <c r="K252" t="str">
        <f>"Orto, Toronto"</f>
        <v>Orto, Toronto</v>
      </c>
      <c r="L252" t="str">
        <f>""</f>
        <v/>
      </c>
      <c r="M252" t="str">
        <f>""</f>
        <v/>
      </c>
    </row>
    <row r="253" spans="1:13" ht="15">
      <c r="A253" t="s">
        <v>534</v>
      </c>
      <c r="B253" t="str">
        <f>"6766"</f>
        <v>6766</v>
      </c>
      <c r="C253" t="str">
        <f>"1936"</f>
        <v>1936</v>
      </c>
      <c r="D253" t="str">
        <f>"Rakkaus ja pelko"</f>
        <v>Rakkaus ja pelko</v>
      </c>
      <c r="E253" t="str">
        <f t="shared" si="22"/>
        <v>viro</v>
      </c>
      <c r="F253" t="str">
        <f>"romaanid; proosa"</f>
        <v>romaanid; proosa</v>
      </c>
      <c r="G253" t="str">
        <f>"  täiskasvanud"</f>
        <v xml:space="preserve">  täiskasvanud</v>
      </c>
      <c r="H253" t="str">
        <f t="shared" si="23"/>
        <v>1963</v>
      </c>
      <c r="I253" t="str">
        <f>"Armastus ja kartus"</f>
        <v>Armastus ja kartus</v>
      </c>
      <c r="J253" t="str">
        <f>"Lepik, Harald"</f>
        <v>Lepik, Harald</v>
      </c>
      <c r="K253" t="str">
        <f>"Ajalehtede-Ajakirjade Kirjastus, Tallinn"</f>
        <v>Ajalehtede-Ajakirjade Kirjastus, Tallinn</v>
      </c>
      <c r="L253" t="str">
        <f>""</f>
        <v/>
      </c>
      <c r="M253" t="str">
        <f>""</f>
        <v/>
      </c>
    </row>
    <row r="254" spans="1:13" ht="15">
      <c r="A254" t="s">
        <v>541</v>
      </c>
      <c r="B254" t="str">
        <f>"10169"</f>
        <v>10169</v>
      </c>
      <c r="C254" t="str">
        <f>"1954"</f>
        <v>1954</v>
      </c>
      <c r="D254" t="str">
        <f>"Neiti talonmies"</f>
        <v>Neiti talonmies</v>
      </c>
      <c r="E254" t="str">
        <f t="shared" si="22"/>
        <v>viro</v>
      </c>
      <c r="F254" t="str">
        <f>"romaanid; proosa"</f>
        <v>romaanid; proosa</v>
      </c>
      <c r="G254" t="str">
        <f>"  täiskasvanud"</f>
        <v xml:space="preserve">  täiskasvanud</v>
      </c>
      <c r="H254" t="str">
        <f t="shared" si="23"/>
        <v>1963</v>
      </c>
      <c r="I254" t="str">
        <f>"Preili kojamees"</f>
        <v>Preili kojamees</v>
      </c>
      <c r="J254" t="str">
        <f>"Ingelman, Harry"</f>
        <v>Ingelman, Harry</v>
      </c>
      <c r="K254" t="str">
        <f>"Orto, Toronto"</f>
        <v>Orto, Toronto</v>
      </c>
      <c r="L254" t="str">
        <f>""</f>
        <v/>
      </c>
      <c r="M254" t="str">
        <f>""</f>
        <v/>
      </c>
    </row>
    <row r="255" spans="1:13" ht="15">
      <c r="A255" t="s">
        <v>563</v>
      </c>
      <c r="B255" t="str">
        <f>"8822"</f>
        <v>8822</v>
      </c>
      <c r="C255" t="str">
        <f>"1958"</f>
        <v>1958</v>
      </c>
      <c r="D255" t="str">
        <f>"Feliks onnellinen"</f>
        <v>Feliks onnellinen</v>
      </c>
      <c r="E255" t="str">
        <f t="shared" si="22"/>
        <v>viro</v>
      </c>
      <c r="F255" t="str">
        <f>"romaanid; proosa"</f>
        <v>romaanid; proosa</v>
      </c>
      <c r="G255" t="str">
        <f>"  täiskasvanud"</f>
        <v xml:space="preserve">  täiskasvanud</v>
      </c>
      <c r="H255" t="str">
        <f t="shared" si="23"/>
        <v>1963</v>
      </c>
      <c r="I255" t="str">
        <f>"Feliks Õnnelik"</f>
        <v>Feliks Õnnelik</v>
      </c>
      <c r="J255" t="str">
        <f>"Ingelman, Harry"</f>
        <v>Ingelman, Harry</v>
      </c>
      <c r="K255" t="str">
        <f>"Orto, Toronto"</f>
        <v>Orto, Toronto</v>
      </c>
      <c r="L255" t="str">
        <f>""</f>
        <v/>
      </c>
      <c r="M255" t="str">
        <f>""</f>
        <v/>
      </c>
    </row>
    <row r="256" spans="1:13" ht="15">
      <c r="A256" t="s">
        <v>563</v>
      </c>
      <c r="B256" t="str">
        <f>"10294"</f>
        <v>10294</v>
      </c>
      <c r="C256" t="str">
        <f>"1961"</f>
        <v>1961</v>
      </c>
      <c r="D256" t="str">
        <f>"Koiranheisipuu"</f>
        <v>Koiranheisipuu</v>
      </c>
      <c r="E256" t="str">
        <f t="shared" si="22"/>
        <v>viro</v>
      </c>
      <c r="F256" t="str">
        <f>"romaanid; proosa"</f>
        <v>romaanid; proosa</v>
      </c>
      <c r="G256" t="str">
        <f>"  täiskasvanud"</f>
        <v xml:space="preserve">  täiskasvanud</v>
      </c>
      <c r="H256" t="str">
        <f t="shared" si="23"/>
        <v>1963</v>
      </c>
      <c r="I256" t="str">
        <f>"Õispuu"</f>
        <v>Õispuu</v>
      </c>
      <c r="J256" t="str">
        <f>"Ingelman, Harry"</f>
        <v>Ingelman, Harry</v>
      </c>
      <c r="K256" t="str">
        <f>"Orto, Toronto"</f>
        <v>Orto, Toronto</v>
      </c>
      <c r="L256" t="str">
        <f>""</f>
        <v/>
      </c>
      <c r="M256" t="str">
        <f>""</f>
        <v/>
      </c>
    </row>
    <row r="257" spans="1:13" ht="15">
      <c r="A257" t="s">
        <v>563</v>
      </c>
      <c r="B257" t="str">
        <f>"6771"</f>
        <v>6771</v>
      </c>
      <c r="C257" t="str">
        <f>"1948"</f>
        <v>1948</v>
      </c>
      <c r="D257" t="str">
        <f>"Kultakutri"</f>
        <v>Kultakutri</v>
      </c>
      <c r="E257" t="str">
        <f t="shared" si="22"/>
        <v>viro</v>
      </c>
      <c r="F257" t="str">
        <f>"romaanid; proosa"</f>
        <v>romaanid; proosa</v>
      </c>
      <c r="G257" t="str">
        <f>"  täiskasvanud"</f>
        <v xml:space="preserve">  täiskasvanud</v>
      </c>
      <c r="H257" t="str">
        <f t="shared" si="23"/>
        <v>1963</v>
      </c>
      <c r="I257" t="str">
        <f>"Kuldkihar"</f>
        <v>Kuldkihar</v>
      </c>
      <c r="J257" t="str">
        <f>"Ingelman, Harry"</f>
        <v>Ingelman, Harry</v>
      </c>
      <c r="K257" t="str">
        <f>"Orto, Toronto"</f>
        <v>Orto, Toronto</v>
      </c>
      <c r="L257" t="str">
        <f>""</f>
        <v/>
      </c>
      <c r="M257" t="str">
        <f>""</f>
        <v/>
      </c>
    </row>
    <row r="258" spans="1:13" ht="15">
      <c r="A258" t="s">
        <v>78</v>
      </c>
      <c r="B258" t="str">
        <f>"6611"</f>
        <v>6611</v>
      </c>
      <c r="C258" t="str">
        <f>"1961"</f>
        <v>1961</v>
      </c>
      <c r="D258" t="str">
        <f>"Tinaa"</f>
        <v>Tinaa</v>
      </c>
      <c r="E258" t="str">
        <f t="shared" si="22"/>
        <v>viro</v>
      </c>
      <c r="F258" t="str">
        <f>"romaanid; proosa"</f>
        <v>romaanid; proosa</v>
      </c>
      <c r="G258" t="str">
        <f>"  täiskasvanud"</f>
        <v xml:space="preserve">  täiskasvanud</v>
      </c>
      <c r="H258" t="str">
        <f aca="true" t="shared" si="24" ref="H258:H264">"1964"</f>
        <v>1964</v>
      </c>
      <c r="I258" t="str">
        <f>"Tina"</f>
        <v>Tina</v>
      </c>
      <c r="J258" t="str">
        <f>"Ingelman, Harry"</f>
        <v>Ingelman, Harry</v>
      </c>
      <c r="K258" t="str">
        <f>"Orto, Toronto"</f>
        <v>Orto, Toronto</v>
      </c>
      <c r="L258" t="str">
        <f>""</f>
        <v/>
      </c>
      <c r="M258" t="str">
        <f>""</f>
        <v/>
      </c>
    </row>
    <row r="259" spans="1:13" ht="15">
      <c r="A259" t="s">
        <v>168</v>
      </c>
      <c r="B259" t="str">
        <f>"343"</f>
        <v>343</v>
      </c>
      <c r="C259" t="str">
        <f>"1958"</f>
        <v>1958</v>
      </c>
      <c r="D259" t="str">
        <f>"Amalia"</f>
        <v>Amalia</v>
      </c>
      <c r="E259" t="str">
        <f aca="true" t="shared" si="25" ref="E259:E290">"viro"</f>
        <v>viro</v>
      </c>
      <c r="F259" t="str">
        <f>"romaanid; proosa"</f>
        <v>romaanid; proosa</v>
      </c>
      <c r="G259" t="str">
        <f>"  täiskasvanud"</f>
        <v xml:space="preserve">  täiskasvanud</v>
      </c>
      <c r="H259" t="str">
        <f t="shared" si="24"/>
        <v>1964</v>
      </c>
      <c r="I259" t="str">
        <f>"Amalia"</f>
        <v>Amalia</v>
      </c>
      <c r="J259" t="str">
        <f>"Lepik, Harald"</f>
        <v>Lepik, Harald</v>
      </c>
      <c r="K259" t="str">
        <f>"Eesti Riiklik Kirjastus, Tallinn"</f>
        <v>Eesti Riiklik Kirjastus, Tallinn</v>
      </c>
      <c r="L259" t="str">
        <f>""</f>
        <v/>
      </c>
      <c r="M259" t="str">
        <f>""</f>
        <v/>
      </c>
    </row>
    <row r="260" spans="1:13" ht="15">
      <c r="A260" t="s">
        <v>272</v>
      </c>
      <c r="B260" t="str">
        <f>"10323"</f>
        <v>10323</v>
      </c>
      <c r="C260" t="str">
        <f>"1960"</f>
        <v>1960</v>
      </c>
      <c r="D260" t="str">
        <f>"Täällä Pohjantähden alla. 2"</f>
        <v>Täällä Pohjantähden alla. 2</v>
      </c>
      <c r="E260" t="str">
        <f t="shared" si="25"/>
        <v>viro</v>
      </c>
      <c r="F260" t="str">
        <f>"romaanid; proosa"</f>
        <v>romaanid; proosa</v>
      </c>
      <c r="G260" t="str">
        <f>"  täiskasvanud"</f>
        <v xml:space="preserve">  täiskasvanud</v>
      </c>
      <c r="H260" t="str">
        <f t="shared" si="24"/>
        <v>1964</v>
      </c>
      <c r="I260" t="str">
        <f>"Siin Põhjatähe all. 2"</f>
        <v>Siin Põhjatähe all. 2</v>
      </c>
      <c r="J260" t="str">
        <f>"Eller, Helmi"</f>
        <v>Eller, Helmi</v>
      </c>
      <c r="K260" t="str">
        <f>"Vaba Eesti, Stockholm"</f>
        <v>Vaba Eesti, Stockholm</v>
      </c>
      <c r="L260" t="str">
        <f>""</f>
        <v/>
      </c>
      <c r="M260" t="str">
        <f>""</f>
        <v/>
      </c>
    </row>
    <row r="261" spans="1:13" ht="15">
      <c r="A261" t="s">
        <v>458</v>
      </c>
      <c r="B261" t="str">
        <f>"6731"</f>
        <v>6731</v>
      </c>
      <c r="C261" t="str">
        <f>""</f>
        <v/>
      </c>
      <c r="D261" t="str">
        <f>"Sitä sorttia mies"</f>
        <v>Sitä sorttia mies</v>
      </c>
      <c r="E261" t="str">
        <f t="shared" si="25"/>
        <v>viro</v>
      </c>
      <c r="F261" t="str">
        <f>"lühiproosa, proosa"</f>
        <v>lühiproosa, proosa</v>
      </c>
      <c r="G261" t="str">
        <f>"  täiskasvanud"</f>
        <v xml:space="preserve">  täiskasvanud</v>
      </c>
      <c r="H261" t="str">
        <f t="shared" si="24"/>
        <v>1964</v>
      </c>
      <c r="I261" t="str">
        <f>"Seda sorti mees"</f>
        <v>Seda sorti mees</v>
      </c>
      <c r="J261" t="str">
        <f>"Lepik, Harald"</f>
        <v>Lepik, Harald</v>
      </c>
      <c r="K261" t="str">
        <f>"Ajalehtede-Ajakirjade Kirjastus, Tallinn"</f>
        <v>Ajalehtede-Ajakirjade Kirjastus, Tallinn</v>
      </c>
      <c r="L261" t="str">
        <f>""</f>
        <v/>
      </c>
      <c r="M261" t="str">
        <f>""</f>
        <v/>
      </c>
    </row>
    <row r="262" spans="1:13" ht="15">
      <c r="A262" t="s">
        <v>525</v>
      </c>
      <c r="B262" t="str">
        <f>"6765"</f>
        <v>6765</v>
      </c>
      <c r="C262" t="str">
        <f>""</f>
        <v/>
      </c>
      <c r="D262" t="str">
        <f>""</f>
        <v/>
      </c>
      <c r="E262" t="str">
        <f t="shared" si="25"/>
        <v>viro</v>
      </c>
      <c r="F262" t="str">
        <f>"luule, lüürika"</f>
        <v>luule, lüürika</v>
      </c>
      <c r="G262" t="str">
        <f>"  täiskasvanud"</f>
        <v xml:space="preserve">  täiskasvanud</v>
      </c>
      <c r="H262" t="str">
        <f t="shared" si="24"/>
        <v>1964</v>
      </c>
      <c r="I262" t="str">
        <f>"Soome sari"</f>
        <v>Soome sari</v>
      </c>
      <c r="J262" t="str">
        <f>"Kaalep, Ain, Kross, Jaan, Niit, Ellen, Rummo, Paul-Eerik, Traat, Mats"</f>
        <v>Kaalep, Ain, Kross, Jaan, Niit, Ellen, Rummo, Paul-Eerik, Traat, Mats</v>
      </c>
      <c r="K262" t="str">
        <f>"Ajalehtede-Ajakirjade Kirjastus, Tallinn"</f>
        <v>Ajalehtede-Ajakirjade Kirjastus, Tallinn</v>
      </c>
      <c r="L262" t="str">
        <f>""</f>
        <v/>
      </c>
      <c r="M262" t="str">
        <f>""</f>
        <v/>
      </c>
    </row>
    <row r="263" spans="1:13" ht="15">
      <c r="A263" t="s">
        <v>563</v>
      </c>
      <c r="B263" t="str">
        <f>"9690"</f>
        <v>9690</v>
      </c>
      <c r="C263" t="str">
        <f>"1942"</f>
        <v>1942</v>
      </c>
      <c r="D263" t="str">
        <f>"Fine van Brooklyn"</f>
        <v>Fine van Brooklyn</v>
      </c>
      <c r="E263" t="str">
        <f t="shared" si="25"/>
        <v>viro</v>
      </c>
      <c r="F263" t="str">
        <f>"romaanid; proosa"</f>
        <v>romaanid; proosa</v>
      </c>
      <c r="G263" t="str">
        <f>"  täiskasvanud"</f>
        <v xml:space="preserve">  täiskasvanud</v>
      </c>
      <c r="H263" t="str">
        <f t="shared" si="24"/>
        <v>1964</v>
      </c>
      <c r="I263" t="str">
        <f>"Ahvatlev kuristik"</f>
        <v>Ahvatlev kuristik</v>
      </c>
      <c r="J263" t="str">
        <f>"Ingelman, Harry"</f>
        <v>Ingelman, Harry</v>
      </c>
      <c r="K263" t="str">
        <f>"Orto, Toronto"</f>
        <v>Orto, Toronto</v>
      </c>
      <c r="L263" t="str">
        <f>""</f>
        <v/>
      </c>
      <c r="M263" t="str">
        <f>""</f>
        <v/>
      </c>
    </row>
    <row r="264" spans="1:13" ht="15">
      <c r="A264" t="s">
        <v>563</v>
      </c>
      <c r="B264" t="str">
        <f>"10295"</f>
        <v>10295</v>
      </c>
      <c r="C264" t="str">
        <f>"1961"</f>
        <v>1961</v>
      </c>
      <c r="D264" t="str">
        <f>"Sellaista ei tapahdu"</f>
        <v>Sellaista ei tapahdu</v>
      </c>
      <c r="E264" t="str">
        <f t="shared" si="25"/>
        <v>viro</v>
      </c>
      <c r="F264" t="str">
        <f>"romaanid; proosa"</f>
        <v>romaanid; proosa</v>
      </c>
      <c r="G264" t="str">
        <f>"  täiskasvanud"</f>
        <v xml:space="preserve">  täiskasvanud</v>
      </c>
      <c r="H264" t="str">
        <f t="shared" si="24"/>
        <v>1964</v>
      </c>
      <c r="I264" t="str">
        <f>"Seda ei juhtu"</f>
        <v>Seda ei juhtu</v>
      </c>
      <c r="J264" t="str">
        <f>"Ingelman, Harry"</f>
        <v>Ingelman, Harry</v>
      </c>
      <c r="K264" t="str">
        <f>"Orto, Toronto"</f>
        <v>Orto, Toronto</v>
      </c>
      <c r="L264" t="str">
        <f>""</f>
        <v/>
      </c>
      <c r="M264" t="str">
        <f>""</f>
        <v/>
      </c>
    </row>
    <row r="265" spans="1:13" ht="15">
      <c r="A265" t="s">
        <v>195</v>
      </c>
      <c r="B265" t="str">
        <f>"6663"</f>
        <v>6663</v>
      </c>
      <c r="C265" t="str">
        <f>"1955"</f>
        <v>1955</v>
      </c>
      <c r="D265" t="str">
        <f>"Maanantai : aivan arkinen legenda"</f>
        <v>Maanantai : aivan arkinen legenda</v>
      </c>
      <c r="E265" t="str">
        <f t="shared" si="25"/>
        <v>viro</v>
      </c>
      <c r="F265" t="str">
        <f>"romaanid; proosa"</f>
        <v>romaanid; proosa</v>
      </c>
      <c r="G265" t="str">
        <f>"  täiskasvanud"</f>
        <v xml:space="preserve">  täiskasvanud</v>
      </c>
      <c r="H265" t="str">
        <f>"1965"</f>
        <v>1965</v>
      </c>
      <c r="I265" t="str">
        <f>"Esmaspäev"</f>
        <v>Esmaspäev</v>
      </c>
      <c r="J265" t="str">
        <f>""</f>
        <v/>
      </c>
      <c r="K265" t="str">
        <f>"Orto, Toronto"</f>
        <v>Orto, Toronto</v>
      </c>
      <c r="L265" t="str">
        <f>""</f>
        <v/>
      </c>
      <c r="M265" t="str">
        <f>""</f>
        <v/>
      </c>
    </row>
    <row r="266" spans="1:13" ht="15">
      <c r="A266" t="s">
        <v>240</v>
      </c>
      <c r="B266" t="str">
        <f>"6676"</f>
        <v>6676</v>
      </c>
      <c r="C266" t="str">
        <f>"1964"</f>
        <v>1964</v>
      </c>
      <c r="D266" t="str">
        <f>"Tästä ei puhuta julkisesti : erään vilpittömän ihmissielun paljastavia tunnustuksia"</f>
        <v>Tästä ei puhuta julkisesti : erään vilpittömän ihmissielun paljastavia tunnustuksia</v>
      </c>
      <c r="E266" t="str">
        <f t="shared" si="25"/>
        <v>viro</v>
      </c>
      <c r="F266" t="str">
        <f>"romaanid; proosa"</f>
        <v>romaanid; proosa</v>
      </c>
      <c r="G266" t="str">
        <f>"  täiskasvanud"</f>
        <v xml:space="preserve">  täiskasvanud</v>
      </c>
      <c r="H266" t="str">
        <f>"1965"</f>
        <v>1965</v>
      </c>
      <c r="I266" t="str">
        <f>"Sellest ei räägita avalikult"</f>
        <v>Sellest ei räägita avalikult</v>
      </c>
      <c r="J266" t="str">
        <f>"Seilenthal, J."</f>
        <v>Seilenthal, J.</v>
      </c>
      <c r="K266" t="str">
        <f>"Eesti Raamat, Tallinn"</f>
        <v>Eesti Raamat, Tallinn</v>
      </c>
      <c r="L266" t="str">
        <f>""</f>
        <v/>
      </c>
      <c r="M266" t="str">
        <f>""</f>
        <v/>
      </c>
    </row>
    <row r="267" spans="1:13" ht="15">
      <c r="A267" t="s">
        <v>272</v>
      </c>
      <c r="B267" t="str">
        <f>"12152"</f>
        <v>12152</v>
      </c>
      <c r="C267" t="str">
        <f>"1959"</f>
        <v>1959</v>
      </c>
      <c r="D267" t="str">
        <f>"Täällä Pohjantähden alla. 1"</f>
        <v>Täällä Pohjantähden alla. 1</v>
      </c>
      <c r="E267" t="str">
        <f t="shared" si="25"/>
        <v>viro</v>
      </c>
      <c r="F267" t="str">
        <f>"romaanid; proosa"</f>
        <v>romaanid; proosa</v>
      </c>
      <c r="G267" t="str">
        <f>"  täiskasvanud"</f>
        <v xml:space="preserve">  täiskasvanud</v>
      </c>
      <c r="H267" t="str">
        <f>"1965"</f>
        <v>1965</v>
      </c>
      <c r="I267" t="str">
        <f>"Siin Põhjatähe all"</f>
        <v>Siin Põhjatähe all</v>
      </c>
      <c r="J267" t="str">
        <f>"Lepik, Harald"</f>
        <v>Lepik, Harald</v>
      </c>
      <c r="K267" t="str">
        <f>"Eesti Raamat, Tallinn"</f>
        <v>Eesti Raamat, Tallinn</v>
      </c>
      <c r="L267" t="str">
        <f>""</f>
        <v/>
      </c>
      <c r="M267" t="str">
        <f>""</f>
        <v/>
      </c>
    </row>
    <row r="268" spans="1:13" ht="15">
      <c r="A268" t="s">
        <v>563</v>
      </c>
      <c r="B268" t="str">
        <f>"6774"</f>
        <v>6774</v>
      </c>
      <c r="C268" t="str">
        <f>"1959"</f>
        <v>1959</v>
      </c>
      <c r="D268" t="str">
        <f>"Valtakunnan salaisuus : Markus Mezentius Manilianuksen yksitoista kirjettä keväästä 30 jKr"</f>
        <v>Valtakunnan salaisuus : Markus Mezentius Manilianuksen yksitoista kirjettä keväästä 30 jKr</v>
      </c>
      <c r="E268" t="str">
        <f t="shared" si="25"/>
        <v>viro</v>
      </c>
      <c r="F268" t="str">
        <f>"romaanid; proosa"</f>
        <v>romaanid; proosa</v>
      </c>
      <c r="G268" t="str">
        <f>"  täiskasvanud"</f>
        <v xml:space="preserve">  täiskasvanud</v>
      </c>
      <c r="H268" t="str">
        <f>"1965"</f>
        <v>1965</v>
      </c>
      <c r="I268" t="str">
        <f>"Riigi saladus"</f>
        <v>Riigi saladus</v>
      </c>
      <c r="J268" t="str">
        <f>"Aavik, Johannes"</f>
        <v>Aavik, Johannes</v>
      </c>
      <c r="K268" t="str">
        <f>"Orto, Toronto"</f>
        <v>Orto, Toronto</v>
      </c>
      <c r="L268" t="str">
        <f>""</f>
        <v/>
      </c>
      <c r="M268" t="str">
        <f>""</f>
        <v/>
      </c>
    </row>
    <row r="269" spans="1:13" ht="15">
      <c r="A269" t="s">
        <v>95</v>
      </c>
      <c r="B269" t="str">
        <f>"6616"</f>
        <v>6616</v>
      </c>
      <c r="C269" t="str">
        <f>"1960"</f>
        <v>1960</v>
      </c>
      <c r="D269" t="str">
        <f>"Kotona"</f>
        <v>Kotona</v>
      </c>
      <c r="E269" t="str">
        <f t="shared" si="25"/>
        <v>viro</v>
      </c>
      <c r="F269" t="str">
        <f>"romaanid; proosa"</f>
        <v>romaanid; proosa</v>
      </c>
      <c r="G269" t="str">
        <f>"  täiskasvanud"</f>
        <v xml:space="preserve">  täiskasvanud</v>
      </c>
      <c r="H269" t="str">
        <f aca="true" t="shared" si="26" ref="H269:H274">"1966"</f>
        <v>1966</v>
      </c>
      <c r="I269" t="str">
        <f>"Kodus"</f>
        <v>Kodus</v>
      </c>
      <c r="J269" t="str">
        <f>"Lepik, Harald"</f>
        <v>Lepik, Harald</v>
      </c>
      <c r="K269" t="str">
        <f>"Perioodika, Tallinn"</f>
        <v>Perioodika, Tallinn</v>
      </c>
      <c r="L269" t="str">
        <f>""</f>
        <v/>
      </c>
      <c r="M269" t="str">
        <f>""</f>
        <v/>
      </c>
    </row>
    <row r="270" spans="1:13" ht="15">
      <c r="A270" t="s">
        <v>185</v>
      </c>
      <c r="B270" t="str">
        <f>"12149"</f>
        <v>12149</v>
      </c>
      <c r="C270" t="str">
        <f>"1870"</f>
        <v>1870</v>
      </c>
      <c r="D270" t="str">
        <f>"Seitsemän veljestä"</f>
        <v>Seitsemän veljestä</v>
      </c>
      <c r="E270" t="str">
        <f t="shared" si="25"/>
        <v>viro</v>
      </c>
      <c r="F270" t="str">
        <f>"romaanid; proosa"</f>
        <v>romaanid; proosa</v>
      </c>
      <c r="G270" t="str">
        <f>"  täiskasvanud"</f>
        <v xml:space="preserve">  täiskasvanud</v>
      </c>
      <c r="H270" t="str">
        <f t="shared" si="26"/>
        <v>1966</v>
      </c>
      <c r="I270" t="str">
        <f>"Seitse venda"</f>
        <v>Seitse venda</v>
      </c>
      <c r="J270" t="str">
        <f>"Tuglas, Friedebert"</f>
        <v>Tuglas, Friedebert</v>
      </c>
      <c r="K270" t="str">
        <f>"Eesti Raamat, Tallinn"</f>
        <v>Eesti Raamat, Tallinn</v>
      </c>
      <c r="L270" t="str">
        <f>""</f>
        <v/>
      </c>
      <c r="M270" t="str">
        <f>""</f>
        <v/>
      </c>
    </row>
    <row r="271" spans="1:13" ht="15">
      <c r="A271" t="s">
        <v>308</v>
      </c>
      <c r="B271" t="str">
        <f>"6703"</f>
        <v>6703</v>
      </c>
      <c r="C271" t="str">
        <f>"1957"</f>
        <v>1957</v>
      </c>
      <c r="D271" t="str">
        <f>"Manillaköysi"</f>
        <v>Manillaköysi</v>
      </c>
      <c r="E271" t="str">
        <f t="shared" si="25"/>
        <v>viro</v>
      </c>
      <c r="F271" t="str">
        <f>"romaanid; proosa"</f>
        <v>romaanid; proosa</v>
      </c>
      <c r="G271" t="str">
        <f>"  täiskasvanud"</f>
        <v xml:space="preserve">  täiskasvanud</v>
      </c>
      <c r="H271" t="str">
        <f t="shared" si="26"/>
        <v>1966</v>
      </c>
      <c r="I271" t="str">
        <f>"Manillaköis"</f>
        <v>Manillaköis</v>
      </c>
      <c r="J271" t="str">
        <f>"Lepik, Harald"</f>
        <v>Lepik, Harald</v>
      </c>
      <c r="K271" t="str">
        <f>"Perioodika, Tallinn"</f>
        <v>Perioodika, Tallinn</v>
      </c>
      <c r="L271" t="str">
        <f>""</f>
        <v/>
      </c>
      <c r="M271" t="str">
        <f>""</f>
        <v/>
      </c>
    </row>
    <row r="272" spans="1:13" ht="15">
      <c r="A272" t="s">
        <v>397</v>
      </c>
      <c r="B272" t="str">
        <f>"6724"</f>
        <v>6724</v>
      </c>
      <c r="C272" t="str">
        <f>"1964"</f>
        <v>1964</v>
      </c>
      <c r="D272" t="str">
        <f>"Ennen ruskaa"</f>
        <v>Ennen ruskaa</v>
      </c>
      <c r="E272" t="str">
        <f t="shared" si="25"/>
        <v>viro</v>
      </c>
      <c r="F272" t="str">
        <f>"romaanid; proosa"</f>
        <v>romaanid; proosa</v>
      </c>
      <c r="G272" t="str">
        <f>"  täiskasvanud"</f>
        <v xml:space="preserve">  täiskasvanud</v>
      </c>
      <c r="H272" t="str">
        <f t="shared" si="26"/>
        <v>1966</v>
      </c>
      <c r="I272" t="str">
        <f>"Hämariku eel"</f>
        <v>Hämariku eel</v>
      </c>
      <c r="J272" t="str">
        <f>"Impola, Richard"</f>
        <v>Impola, Richard</v>
      </c>
      <c r="K272" t="str">
        <f>"Orto, Toronto"</f>
        <v>Orto, Toronto</v>
      </c>
      <c r="L272" t="str">
        <f>""</f>
        <v/>
      </c>
      <c r="M272" t="str">
        <f>""</f>
        <v/>
      </c>
    </row>
    <row r="273" spans="1:13" ht="15">
      <c r="A273" t="s">
        <v>466</v>
      </c>
      <c r="B273" t="str">
        <f>"6737"</f>
        <v>6737</v>
      </c>
      <c r="C273" t="str">
        <f>"1934"</f>
        <v>1934</v>
      </c>
      <c r="D273" t="str">
        <f>"Ihmiset suviyössä : eepillinen sarja"</f>
        <v>Ihmiset suviyössä : eepillinen sarja</v>
      </c>
      <c r="E273" t="str">
        <f t="shared" si="25"/>
        <v>viro</v>
      </c>
      <c r="F273" t="str">
        <f>"romaanid; proosa"</f>
        <v>romaanid; proosa</v>
      </c>
      <c r="G273" t="str">
        <f>"  täiskasvanud"</f>
        <v xml:space="preserve">  täiskasvanud</v>
      </c>
      <c r="H273" t="str">
        <f t="shared" si="26"/>
        <v>1966</v>
      </c>
      <c r="I273" t="str">
        <f>"Inimesed suveöös"</f>
        <v>Inimesed suveöös</v>
      </c>
      <c r="J273" t="str">
        <f>""</f>
        <v/>
      </c>
      <c r="K273" t="str">
        <f>"Orto, Toronto"</f>
        <v>Orto, Toronto</v>
      </c>
      <c r="L273" t="str">
        <f>""</f>
        <v/>
      </c>
      <c r="M273" t="str">
        <f>""</f>
        <v/>
      </c>
    </row>
    <row r="274" spans="1:13" ht="15">
      <c r="A274" t="s">
        <v>469</v>
      </c>
      <c r="B274" t="str">
        <f>"6743"</f>
        <v>6743</v>
      </c>
      <c r="C274" t="str">
        <f>"1946"</f>
        <v>1946</v>
      </c>
      <c r="D274" t="str">
        <f>"Viljami Vaihdokas"</f>
        <v>Viljami Vaihdokas</v>
      </c>
      <c r="E274" t="str">
        <f t="shared" si="25"/>
        <v>viro</v>
      </c>
      <c r="F274" t="str">
        <f>"romaanid; proosa"</f>
        <v>romaanid; proosa</v>
      </c>
      <c r="G274" t="str">
        <f>"  täiskasvanud"</f>
        <v xml:space="preserve">  täiskasvanud</v>
      </c>
      <c r="H274" t="str">
        <f t="shared" si="26"/>
        <v>1966</v>
      </c>
      <c r="I274" t="str">
        <f>"Vahetatud Viljami"</f>
        <v>Vahetatud Viljami</v>
      </c>
      <c r="J274" t="str">
        <f>"Niit, Ellen"</f>
        <v>Niit, Ellen</v>
      </c>
      <c r="K274" t="str">
        <f>"Eesti Raamat, Tallinn"</f>
        <v>Eesti Raamat, Tallinn</v>
      </c>
      <c r="L274" t="str">
        <f>""</f>
        <v/>
      </c>
      <c r="M274" t="str">
        <f>""</f>
        <v/>
      </c>
    </row>
    <row r="275" spans="2:13" ht="15">
      <c r="B275" t="str">
        <f>"6862"</f>
        <v>6862</v>
      </c>
      <c r="C275" t="str">
        <f>""</f>
        <v/>
      </c>
      <c r="D275" t="str">
        <f>""</f>
        <v/>
      </c>
      <c r="E275" t="str">
        <f t="shared" si="25"/>
        <v>viro</v>
      </c>
      <c r="F275" t="str">
        <f>"luule, lüürika"</f>
        <v>luule, lüürika</v>
      </c>
      <c r="G275" t="str">
        <f>"  täiskasvanud"</f>
        <v xml:space="preserve">  täiskasvanud</v>
      </c>
      <c r="H275" t="str">
        <f aca="true" t="shared" si="27" ref="H275:H280">"1967"</f>
        <v>1967</v>
      </c>
      <c r="I275" t="str">
        <f>"Kõne voolab voolavas maailmas"</f>
        <v>Kõne voolab voolavas maailmas</v>
      </c>
      <c r="J275" t="str">
        <f>"Rummo, Paul-Eerik, Seppel, Ly"</f>
        <v>Rummo, Paul-Eerik, Seppel, Ly</v>
      </c>
      <c r="K275" t="str">
        <f>"Perioodika, Tallinn"</f>
        <v>Perioodika, Tallinn</v>
      </c>
      <c r="L275" t="str">
        <f>""</f>
        <v/>
      </c>
      <c r="M275" t="str">
        <f>""</f>
        <v/>
      </c>
    </row>
    <row r="276" spans="1:13" ht="15">
      <c r="A276" t="s">
        <v>57</v>
      </c>
      <c r="B276" t="str">
        <f>"6605"</f>
        <v>6605</v>
      </c>
      <c r="C276" t="str">
        <f>"1960"</f>
        <v>1960</v>
      </c>
      <c r="D276" t="str">
        <f>"Yksityisiä asioita : romaani"</f>
        <v>Yksityisiä asioita : romaani</v>
      </c>
      <c r="E276" t="str">
        <f t="shared" si="25"/>
        <v>viro</v>
      </c>
      <c r="F276" t="str">
        <f>"romaanid; proosa"</f>
        <v>romaanid; proosa</v>
      </c>
      <c r="G276" t="str">
        <f>"  täiskasvanud"</f>
        <v xml:space="preserve">  täiskasvanud</v>
      </c>
      <c r="H276" t="str">
        <f t="shared" si="27"/>
        <v>1967</v>
      </c>
      <c r="I276" t="str">
        <f>"Isiklikud asjad"</f>
        <v>Isiklikud asjad</v>
      </c>
      <c r="J276" t="str">
        <f>"Lepik, Harald"</f>
        <v>Lepik, Harald</v>
      </c>
      <c r="K276" t="str">
        <f>"Perioodika, Tallinn"</f>
        <v>Perioodika, Tallinn</v>
      </c>
      <c r="L276" t="str">
        <f>""</f>
        <v/>
      </c>
      <c r="M276" t="str">
        <f>""</f>
        <v/>
      </c>
    </row>
    <row r="277" spans="1:13" ht="15">
      <c r="A277" t="s">
        <v>119</v>
      </c>
      <c r="B277" t="str">
        <f>"6622"</f>
        <v>6622</v>
      </c>
      <c r="C277" t="str">
        <f>"1966"</f>
        <v>1966</v>
      </c>
      <c r="D277" t="str">
        <f>"Ritari metsien pimennosta"</f>
        <v>Ritari metsien pimennosta</v>
      </c>
      <c r="E277" t="str">
        <f t="shared" si="25"/>
        <v>viro</v>
      </c>
      <c r="F277" t="str">
        <f>"romaanid; proosa"</f>
        <v>romaanid; proosa</v>
      </c>
      <c r="G277" t="str">
        <f>"  täiskasvanud"</f>
        <v xml:space="preserve">  täiskasvanud</v>
      </c>
      <c r="H277" t="str">
        <f t="shared" si="27"/>
        <v>1967</v>
      </c>
      <c r="I277" t="str">
        <f>"Rüütel laante sügavusest"</f>
        <v>Rüütel laante sügavusest</v>
      </c>
      <c r="J277" t="str">
        <f>"Ingelman, Harry"</f>
        <v>Ingelman, Harry</v>
      </c>
      <c r="K277" t="str">
        <f>"Orto, Toronto"</f>
        <v>Orto, Toronto</v>
      </c>
      <c r="L277" t="str">
        <f>""</f>
        <v/>
      </c>
      <c r="M277" t="str">
        <f>""</f>
        <v/>
      </c>
    </row>
    <row r="278" spans="1:13" ht="15">
      <c r="A278" t="s">
        <v>272</v>
      </c>
      <c r="B278" t="str">
        <f>"10324"</f>
        <v>10324</v>
      </c>
      <c r="C278" t="str">
        <f>"1960"</f>
        <v>1960</v>
      </c>
      <c r="D278" t="str">
        <f>"Täällä Pohjantähden alla. 2"</f>
        <v>Täällä Pohjantähden alla. 2</v>
      </c>
      <c r="E278" t="str">
        <f t="shared" si="25"/>
        <v>viro</v>
      </c>
      <c r="F278" t="str">
        <f>"romaanid; proosa"</f>
        <v>romaanid; proosa</v>
      </c>
      <c r="G278" t="str">
        <f>"  täiskasvanud"</f>
        <v xml:space="preserve">  täiskasvanud</v>
      </c>
      <c r="H278" t="str">
        <f t="shared" si="27"/>
        <v>1967</v>
      </c>
      <c r="I278" t="str">
        <f>"Siin Põhjatähe all. 2"</f>
        <v>Siin Põhjatähe all. 2</v>
      </c>
      <c r="J278" t="str">
        <f>"Lepik, Harald"</f>
        <v>Lepik, Harald</v>
      </c>
      <c r="K278" t="str">
        <f>"Eesti Raamat, Tallinn"</f>
        <v>Eesti Raamat, Tallinn</v>
      </c>
      <c r="L278" t="str">
        <f>""</f>
        <v/>
      </c>
      <c r="M278" t="str">
        <f>""</f>
        <v/>
      </c>
    </row>
    <row r="279" spans="1:13" ht="15">
      <c r="A279" t="s">
        <v>301</v>
      </c>
      <c r="B279" t="str">
        <f>"16988"</f>
        <v>16988</v>
      </c>
      <c r="C279" t="str">
        <f>"1965"</f>
        <v>1965</v>
      </c>
      <c r="D279" t="str">
        <f>"Prinsessan"</f>
        <v>Prinsessan</v>
      </c>
      <c r="E279" t="str">
        <f t="shared" si="25"/>
        <v>viro</v>
      </c>
      <c r="F279" t="str">
        <f>""</f>
        <v/>
      </c>
      <c r="G279" t="str">
        <f>"  täiskasvanud"</f>
        <v xml:space="preserve">  täiskasvanud</v>
      </c>
      <c r="H279" t="str">
        <f t="shared" si="27"/>
        <v>1967</v>
      </c>
      <c r="I279" t="str">
        <f>"Printsess"</f>
        <v>Printsess</v>
      </c>
      <c r="J279" t="str">
        <f>"Ingelman, Harry"</f>
        <v>Ingelman, Harry</v>
      </c>
      <c r="K279" t="str">
        <f>"Orto, Toronto"</f>
        <v>Orto, Toronto</v>
      </c>
      <c r="L279" t="str">
        <f>""</f>
        <v/>
      </c>
      <c r="M279" t="str">
        <f>"5-460-00111-0"</f>
        <v>5-460-00111-0</v>
      </c>
    </row>
    <row r="280" spans="1:13" ht="15">
      <c r="A280" t="s">
        <v>451</v>
      </c>
      <c r="B280" t="str">
        <f>"8666"</f>
        <v>8666</v>
      </c>
      <c r="C280" t="str">
        <f>"1961"</f>
        <v>1961</v>
      </c>
      <c r="D280" t="str">
        <f>"Lavean tien laki"</f>
        <v>Lavean tien laki</v>
      </c>
      <c r="E280" t="str">
        <f t="shared" si="25"/>
        <v>viro</v>
      </c>
      <c r="F280" t="str">
        <f>"romaanid; põnevus- ja krimikirjandus; proosa"</f>
        <v>romaanid; põnevus- ja krimikirjandus; proosa</v>
      </c>
      <c r="G280" t="str">
        <f>"  täiskasvanud"</f>
        <v xml:space="preserve">  täiskasvanud</v>
      </c>
      <c r="H280" t="str">
        <f t="shared" si="27"/>
        <v>1967</v>
      </c>
      <c r="I280" t="str">
        <f>"Laia tee seadus"</f>
        <v>Laia tee seadus</v>
      </c>
      <c r="J280" t="str">
        <f>"Ingelman, Harry"</f>
        <v>Ingelman, Harry</v>
      </c>
      <c r="K280" t="str">
        <f>"Orto, Toronto"</f>
        <v>Orto, Toronto</v>
      </c>
      <c r="L280" t="str">
        <f>""</f>
        <v/>
      </c>
      <c r="M280" t="str">
        <f>""</f>
        <v/>
      </c>
    </row>
    <row r="281" spans="2:13" ht="15">
      <c r="B281" t="str">
        <f>"6868"</f>
        <v>6868</v>
      </c>
      <c r="C281" t="str">
        <f>""</f>
        <v/>
      </c>
      <c r="D281" t="str">
        <f>""</f>
        <v/>
      </c>
      <c r="E281" t="str">
        <f t="shared" si="25"/>
        <v>viro</v>
      </c>
      <c r="F281" t="str">
        <f>"lühiproosa, proosa"</f>
        <v>lühiproosa, proosa</v>
      </c>
      <c r="G281" t="str">
        <f>"  täiskasvanud"</f>
        <v xml:space="preserve">  täiskasvanud</v>
      </c>
      <c r="H281" t="str">
        <f>"1968"</f>
        <v>1968</v>
      </c>
      <c r="I281" t="str">
        <f>"Soome novell"</f>
        <v>Soome novell</v>
      </c>
      <c r="J281" t="str">
        <f>"Helde, V."</f>
        <v>Helde, V.</v>
      </c>
      <c r="K281" t="str">
        <f>"Eesti Raamat, Tallinn"</f>
        <v>Eesti Raamat, Tallinn</v>
      </c>
      <c r="L281" t="str">
        <f>""</f>
        <v/>
      </c>
      <c r="M281" t="str">
        <f>""</f>
        <v/>
      </c>
    </row>
    <row r="282" spans="1:13" ht="15">
      <c r="A282" t="s">
        <v>41</v>
      </c>
      <c r="B282" t="str">
        <f>"9845"</f>
        <v>9845</v>
      </c>
      <c r="C282" t="str">
        <f>""</f>
        <v/>
      </c>
      <c r="D282" t="str">
        <f>""</f>
        <v/>
      </c>
      <c r="E282" t="str">
        <f t="shared" si="25"/>
        <v>viro</v>
      </c>
      <c r="F282" t="str">
        <f>"aforismid. tsitaadid; luule, lüürika"</f>
        <v>aforismid. tsitaadid; luule, lüürika</v>
      </c>
      <c r="G282" t="str">
        <f>"  täiskasvanud"</f>
        <v xml:space="preserve">  täiskasvanud</v>
      </c>
      <c r="H282" t="str">
        <f>"1968"</f>
        <v>1968</v>
      </c>
      <c r="I282" t="str">
        <f>"Maine Hellus"</f>
        <v>Maine Hellus</v>
      </c>
      <c r="J282" t="str">
        <f>"Kross, Jaan"</f>
        <v>Kross, Jaan</v>
      </c>
      <c r="K282" t="str">
        <f>"Perioodika, Tallinn"</f>
        <v>Perioodika, Tallinn</v>
      </c>
      <c r="L282" t="str">
        <f>""</f>
        <v/>
      </c>
      <c r="M282" t="str">
        <f>""</f>
        <v/>
      </c>
    </row>
    <row r="283" spans="1:13" ht="15">
      <c r="A283" t="s">
        <v>181</v>
      </c>
      <c r="B283" t="str">
        <f>"6657"</f>
        <v>6657</v>
      </c>
      <c r="C283" t="str">
        <f>"1933"</f>
        <v>1933</v>
      </c>
      <c r="D283" t="str">
        <f>"Alastalon salissa : Albatrossin tarina"</f>
        <v>Alastalon salissa : Albatrossin tarina</v>
      </c>
      <c r="E283" t="str">
        <f t="shared" si="25"/>
        <v>viro</v>
      </c>
      <c r="F283" t="str">
        <f>"romaanid; proosa"</f>
        <v>romaanid; proosa</v>
      </c>
      <c r="G283" t="str">
        <f>"  täiskasvanud"</f>
        <v xml:space="preserve">  täiskasvanud</v>
      </c>
      <c r="H283" t="str">
        <f>"1968"</f>
        <v>1968</v>
      </c>
      <c r="I283" t="str">
        <f>"Albatrossi lugu"</f>
        <v>Albatrossi lugu</v>
      </c>
      <c r="J283" t="str">
        <f>"Lepik, Harald"</f>
        <v>Lepik, Harald</v>
      </c>
      <c r="K283" t="str">
        <f>"Perioodika, Tallinn"</f>
        <v>Perioodika, Tallinn</v>
      </c>
      <c r="L283" t="str">
        <f>""</f>
        <v/>
      </c>
      <c r="M283" t="str">
        <f>""</f>
        <v/>
      </c>
    </row>
    <row r="284" spans="1:13" ht="15">
      <c r="A284" t="s">
        <v>451</v>
      </c>
      <c r="B284" t="str">
        <f>"6729"</f>
        <v>6729</v>
      </c>
      <c r="C284" t="str">
        <f>"1959"</f>
        <v>1959</v>
      </c>
      <c r="D284" t="str">
        <f>"Ei loitsu eikä rukous"</f>
        <v>Ei loitsu eikä rukous</v>
      </c>
      <c r="E284" t="str">
        <f t="shared" si="25"/>
        <v>viro</v>
      </c>
      <c r="F284" t="str">
        <f>"romaanid; proosa"</f>
        <v>romaanid; proosa</v>
      </c>
      <c r="G284" t="str">
        <f>"  täiskasvanud"</f>
        <v xml:space="preserve">  täiskasvanud</v>
      </c>
      <c r="H284" t="str">
        <f>"1968"</f>
        <v>1968</v>
      </c>
      <c r="I284" t="str">
        <f>"Ei nõidus ega palve"</f>
        <v>Ei nõidus ega palve</v>
      </c>
      <c r="J284" t="str">
        <f>""</f>
        <v/>
      </c>
      <c r="K284" t="str">
        <f>"Orto, Toronto"</f>
        <v>Orto, Toronto</v>
      </c>
      <c r="L284" t="str">
        <f>""</f>
        <v/>
      </c>
      <c r="M284" t="str">
        <f>""</f>
        <v/>
      </c>
    </row>
    <row r="285" spans="1:13" ht="15">
      <c r="A285" t="s">
        <v>92</v>
      </c>
      <c r="B285" t="str">
        <f>"6614"</f>
        <v>6614</v>
      </c>
      <c r="C285" t="str">
        <f>"1965"</f>
        <v>1965</v>
      </c>
      <c r="D285" t="str">
        <f>"Talvituristi"</f>
        <v>Talvituristi</v>
      </c>
      <c r="E285" t="str">
        <f t="shared" si="25"/>
        <v>viro</v>
      </c>
      <c r="F285" t="str">
        <f>"lühiproosa, proosa"</f>
        <v>lühiproosa, proosa</v>
      </c>
      <c r="G285" t="str">
        <f>"  täiskasvanud"</f>
        <v xml:space="preserve">  täiskasvanud</v>
      </c>
      <c r="H285" t="str">
        <f>"1969"</f>
        <v>1969</v>
      </c>
      <c r="I285" t="str">
        <f>"Talveturist"</f>
        <v>Talveturist</v>
      </c>
      <c r="J285" t="str">
        <f>"Kokla, Tiiu"</f>
        <v>Kokla, Tiiu</v>
      </c>
      <c r="K285" t="str">
        <f>"Eesti Raamat, Tallinn"</f>
        <v>Eesti Raamat, Tallinn</v>
      </c>
      <c r="L285" t="str">
        <f>""</f>
        <v/>
      </c>
      <c r="M285" t="str">
        <f>""</f>
        <v/>
      </c>
    </row>
    <row r="286" spans="1:13" ht="15">
      <c r="A286" t="s">
        <v>308</v>
      </c>
      <c r="B286" t="str">
        <f>"6705"</f>
        <v>6705</v>
      </c>
      <c r="C286" t="str">
        <f>"1968"</f>
        <v>1968</v>
      </c>
      <c r="D286" t="str">
        <f>"Suku : romaani"</f>
        <v>Suku : romaani</v>
      </c>
      <c r="E286" t="str">
        <f t="shared" si="25"/>
        <v>viro</v>
      </c>
      <c r="F286" t="str">
        <f>"romaanid; proosa"</f>
        <v>romaanid; proosa</v>
      </c>
      <c r="G286" t="str">
        <f>"  täiskasvanud"</f>
        <v xml:space="preserve">  täiskasvanud</v>
      </c>
      <c r="H286" t="str">
        <f>"1969"</f>
        <v>1969</v>
      </c>
      <c r="I286" t="str">
        <f>"Suguvõsa"</f>
        <v>Suguvõsa</v>
      </c>
      <c r="J286" t="str">
        <f>"Lepik, Harald"</f>
        <v>Lepik, Harald</v>
      </c>
      <c r="K286" t="str">
        <f>"Perioodika, Tallinn"</f>
        <v>Perioodika, Tallinn</v>
      </c>
      <c r="L286" t="str">
        <f>""</f>
        <v/>
      </c>
      <c r="M286" t="str">
        <f>""</f>
        <v/>
      </c>
    </row>
    <row r="287" spans="1:13" ht="15">
      <c r="A287" t="s">
        <v>347</v>
      </c>
      <c r="B287" t="str">
        <f>"6710"</f>
        <v>6710</v>
      </c>
      <c r="C287" t="str">
        <f>"1964"</f>
        <v>1964</v>
      </c>
      <c r="D287" t="str">
        <f>"Valitut teokset 1-2"</f>
        <v>Valitut teokset 1-2</v>
      </c>
      <c r="E287" t="str">
        <f t="shared" si="25"/>
        <v>viro</v>
      </c>
      <c r="F287" t="str">
        <f>"lühiproosa, proosa; pakinat"</f>
        <v>lühiproosa, proosa; pakinat</v>
      </c>
      <c r="G287" t="str">
        <f>"  täiskasvanud"</f>
        <v xml:space="preserve">  täiskasvanud</v>
      </c>
      <c r="H287" t="str">
        <f>"1969"</f>
        <v>1969</v>
      </c>
      <c r="I287" t="str">
        <f>"Kui Simson olnuks soomlane"</f>
        <v>Kui Simson olnuks soomlane</v>
      </c>
      <c r="J287" t="str">
        <f>"Lepik, Harald"</f>
        <v>Lepik, Harald</v>
      </c>
      <c r="K287" t="str">
        <f>"Perioodika, Tallinn"</f>
        <v>Perioodika, Tallinn</v>
      </c>
      <c r="L287" t="str">
        <f>""</f>
        <v/>
      </c>
      <c r="M287" t="str">
        <f>""</f>
        <v/>
      </c>
    </row>
    <row r="288" spans="1:13" ht="15">
      <c r="A288" t="s">
        <v>563</v>
      </c>
      <c r="B288" t="str">
        <f>"9688"</f>
        <v>9688</v>
      </c>
      <c r="C288" t="str">
        <f>"1941"</f>
        <v>1941</v>
      </c>
      <c r="D288" t="str">
        <f>"Fine van Brooklyn"</f>
        <v>Fine van Brooklyn</v>
      </c>
      <c r="E288" t="str">
        <f t="shared" si="25"/>
        <v>viro</v>
      </c>
      <c r="F288" t="str">
        <f>"romaanid; proosa"</f>
        <v>romaanid; proosa</v>
      </c>
      <c r="G288" t="str">
        <f>"  täiskasvanud"</f>
        <v xml:space="preserve">  täiskasvanud</v>
      </c>
      <c r="H288" t="str">
        <f>"1969"</f>
        <v>1969</v>
      </c>
      <c r="I288" t="str">
        <f>"Fine van Brooklyn"</f>
        <v>Fine van Brooklyn</v>
      </c>
      <c r="J288" t="str">
        <f>"Mallene, Endel"</f>
        <v>Mallene, Endel</v>
      </c>
      <c r="K288" t="str">
        <f>"Perioodika, Tallinn"</f>
        <v>Perioodika, Tallinn</v>
      </c>
      <c r="L288" t="str">
        <f>""</f>
        <v/>
      </c>
      <c r="M288" t="str">
        <f>""</f>
        <v/>
      </c>
    </row>
    <row r="289" spans="1:13" ht="15">
      <c r="A289" t="s">
        <v>272</v>
      </c>
      <c r="B289" t="str">
        <f>"10344"</f>
        <v>10344</v>
      </c>
      <c r="C289" t="str">
        <f>"1948"</f>
        <v>1948</v>
      </c>
      <c r="D289" t="str">
        <f>"Musta rakkaus : romaani"</f>
        <v>Musta rakkaus : romaani</v>
      </c>
      <c r="E289" t="str">
        <f t="shared" si="25"/>
        <v>viro</v>
      </c>
      <c r="F289" t="str">
        <f>"romaanid; proosa"</f>
        <v>romaanid; proosa</v>
      </c>
      <c r="G289" t="str">
        <f>"  täiskasvanud"</f>
        <v xml:space="preserve">  täiskasvanud</v>
      </c>
      <c r="H289" t="str">
        <f>"1970"</f>
        <v>1970</v>
      </c>
      <c r="I289" t="str">
        <f>"Must armastus"</f>
        <v>Must armastus</v>
      </c>
      <c r="J289" t="str">
        <f>"Lepik, Harald"</f>
        <v>Lepik, Harald</v>
      </c>
      <c r="K289" t="str">
        <f>"Perioodika, Tallinn"</f>
        <v>Perioodika, Tallinn</v>
      </c>
      <c r="L289" t="str">
        <f>""</f>
        <v/>
      </c>
      <c r="M289" t="str">
        <f>""</f>
        <v/>
      </c>
    </row>
    <row r="290" spans="1:13" ht="15">
      <c r="A290" t="s">
        <v>426</v>
      </c>
      <c r="B290" t="str">
        <f>"6727"</f>
        <v>6727</v>
      </c>
      <c r="C290" t="str">
        <f>"1952"</f>
        <v>1952</v>
      </c>
      <c r="D290" t="str">
        <f>"Suomen kansan suuri satukirja"</f>
        <v>Suomen kansan suuri satukirja</v>
      </c>
      <c r="E290" t="str">
        <f t="shared" si="25"/>
        <v>viro</v>
      </c>
      <c r="F290" t="str">
        <f>"folkloor"</f>
        <v>folkloor</v>
      </c>
      <c r="G290" t="str">
        <f>" lapsed ja noored"</f>
        <v xml:space="preserve"> lapsed ja noored</v>
      </c>
      <c r="H290" t="str">
        <f>"1970"</f>
        <v>1970</v>
      </c>
      <c r="I290" t="str">
        <f>"Kõnelevad kuused"</f>
        <v>Kõnelevad kuused</v>
      </c>
      <c r="J290" t="str">
        <f>"Viiding, Linda"</f>
        <v>Viiding, Linda</v>
      </c>
      <c r="K290" t="str">
        <f>"Eesti Raamat, Tallinn"</f>
        <v>Eesti Raamat, Tallinn</v>
      </c>
      <c r="L290" t="str">
        <f>""</f>
        <v/>
      </c>
      <c r="M290" t="str">
        <f>""</f>
        <v/>
      </c>
    </row>
    <row r="291" spans="2:13" ht="15">
      <c r="B291" t="str">
        <f>"6852"</f>
        <v>6852</v>
      </c>
      <c r="C291" t="str">
        <f>""</f>
        <v/>
      </c>
      <c r="D291" t="str">
        <f>""</f>
        <v/>
      </c>
      <c r="E291" t="str">
        <f aca="true" t="shared" si="28" ref="E291:E322">"viro"</f>
        <v>viro</v>
      </c>
      <c r="F291" t="str">
        <f>"aforismid. tsitaadid"</f>
        <v>aforismid. tsitaadid</v>
      </c>
      <c r="G291" t="str">
        <f>"  täiskasvanud"</f>
        <v xml:space="preserve">  täiskasvanud</v>
      </c>
      <c r="H291" t="str">
        <f aca="true" t="shared" si="29" ref="H291:H298">"1971"</f>
        <v>1971</v>
      </c>
      <c r="I291" t="str">
        <f>"Lahtine laegas"</f>
        <v>Lahtine laegas</v>
      </c>
      <c r="J291" t="str">
        <f>"Nirk, Endel"</f>
        <v>Nirk, Endel</v>
      </c>
      <c r="K291" t="str">
        <f>"Perioodika, Tallinn"</f>
        <v>Perioodika, Tallinn</v>
      </c>
      <c r="L291" t="str">
        <f>""</f>
        <v/>
      </c>
      <c r="M291" t="str">
        <f>""</f>
        <v/>
      </c>
    </row>
    <row r="292" spans="1:13" ht="15">
      <c r="A292" t="s">
        <v>5</v>
      </c>
      <c r="B292" t="str">
        <f>"6574"</f>
        <v>6574</v>
      </c>
      <c r="C292" t="str">
        <f>"1954"</f>
        <v>1954</v>
      </c>
      <c r="D292" t="str">
        <f>"Koko kaupungin Vinski"</f>
        <v>Koko kaupungin Vinski</v>
      </c>
      <c r="E292" t="str">
        <f t="shared" si="28"/>
        <v>viro</v>
      </c>
      <c r="F292" t="str">
        <f>"romaanid; proosa"</f>
        <v>romaanid; proosa</v>
      </c>
      <c r="G292" t="str">
        <f>" lapsed ja noored"</f>
        <v xml:space="preserve"> lapsed ja noored</v>
      </c>
      <c r="H292" t="str">
        <f t="shared" si="29"/>
        <v>1971</v>
      </c>
      <c r="I292" t="str">
        <f>"Üle linna Vinski"</f>
        <v>Üle linna Vinski</v>
      </c>
      <c r="J292" t="str">
        <f>"Künnap, Välja"</f>
        <v>Künnap, Välja</v>
      </c>
      <c r="K292" t="str">
        <f>"Eesti Raamat, Tallinn"</f>
        <v>Eesti Raamat, Tallinn</v>
      </c>
      <c r="L292" t="str">
        <f>""</f>
        <v/>
      </c>
      <c r="M292" t="str">
        <f>""</f>
        <v/>
      </c>
    </row>
    <row r="293" spans="1:13" ht="15">
      <c r="A293" t="s">
        <v>9</v>
      </c>
      <c r="B293" t="str">
        <f>"10287"</f>
        <v>10287</v>
      </c>
      <c r="C293" t="str">
        <f>"1920"</f>
        <v>1920</v>
      </c>
      <c r="D293" t="str">
        <f>"Muistatko? : kukkia keväiseltä niityltä"</f>
        <v>Muistatko? : kukkia keväiseltä niityltä</v>
      </c>
      <c r="E293" t="str">
        <f t="shared" si="28"/>
        <v>viro</v>
      </c>
      <c r="F293" t="str">
        <f>"romaanid; proosa"</f>
        <v>romaanid; proosa</v>
      </c>
      <c r="G293" t="str">
        <f>"  täiskasvanud"</f>
        <v xml:space="preserve">  täiskasvanud</v>
      </c>
      <c r="H293" t="str">
        <f t="shared" si="29"/>
        <v>1971</v>
      </c>
      <c r="I293" t="str">
        <f>"Kas mäletad - ? : lilli kevadiselt niidult"</f>
        <v>Kas mäletad - ? : lilli kevadiselt niidult</v>
      </c>
      <c r="J293" t="str">
        <f>"Palm, August"</f>
        <v>Palm, August</v>
      </c>
      <c r="K293" t="str">
        <f>"Orto, Toronto"</f>
        <v>Orto, Toronto</v>
      </c>
      <c r="L293" t="str">
        <f>"3. p."</f>
        <v>3. p.</v>
      </c>
      <c r="M293" t="str">
        <f>""</f>
        <v/>
      </c>
    </row>
    <row r="294" spans="1:13" ht="15">
      <c r="A294" t="s">
        <v>78</v>
      </c>
      <c r="B294" t="str">
        <f>"6610"</f>
        <v>6610</v>
      </c>
      <c r="C294" t="str">
        <f>"1963"</f>
        <v>1963</v>
      </c>
      <c r="D294" t="str">
        <f>"Perillisen ominaisuudet"</f>
        <v>Perillisen ominaisuudet</v>
      </c>
      <c r="E294" t="str">
        <f t="shared" si="28"/>
        <v>viro</v>
      </c>
      <c r="F294" t="str">
        <f>"romaanid; proosa"</f>
        <v>romaanid; proosa</v>
      </c>
      <c r="G294" t="str">
        <f>"  täiskasvanud"</f>
        <v xml:space="preserve">  täiskasvanud</v>
      </c>
      <c r="H294" t="str">
        <f t="shared" si="29"/>
        <v>1971</v>
      </c>
      <c r="I294" t="str">
        <f>"Pärija omadused"</f>
        <v>Pärija omadused</v>
      </c>
      <c r="J294" t="str">
        <f>"Mallene, Endel"</f>
        <v>Mallene, Endel</v>
      </c>
      <c r="K294" t="str">
        <f>"Perioodika, Tallinn"</f>
        <v>Perioodika, Tallinn</v>
      </c>
      <c r="L294" t="str">
        <f>""</f>
        <v/>
      </c>
      <c r="M294" t="str">
        <f>""</f>
        <v/>
      </c>
    </row>
    <row r="295" spans="1:13" ht="15">
      <c r="A295" t="s">
        <v>185</v>
      </c>
      <c r="B295" t="str">
        <f>"12148"</f>
        <v>12148</v>
      </c>
      <c r="C295" t="str">
        <f>"1870"</f>
        <v>1870</v>
      </c>
      <c r="D295" t="str">
        <f>"Seitsemän veljestä"</f>
        <v>Seitsemän veljestä</v>
      </c>
      <c r="E295" t="str">
        <f t="shared" si="28"/>
        <v>viro</v>
      </c>
      <c r="F295" t="str">
        <f>"romaanid; proosa"</f>
        <v>romaanid; proosa</v>
      </c>
      <c r="G295" t="str">
        <f>"  täiskasvanud"</f>
        <v xml:space="preserve">  täiskasvanud</v>
      </c>
      <c r="H295" t="str">
        <f t="shared" si="29"/>
        <v>1971</v>
      </c>
      <c r="I295" t="str">
        <f>"Seitse venda"</f>
        <v>Seitse venda</v>
      </c>
      <c r="J295" t="str">
        <f>"Tuglas, Friedebert"</f>
        <v>Tuglas, Friedebert</v>
      </c>
      <c r="K295" t="str">
        <f>"Eesti Raamat, Tallinn"</f>
        <v>Eesti Raamat, Tallinn</v>
      </c>
      <c r="L295" t="str">
        <f>"6. p."</f>
        <v>6. p.</v>
      </c>
      <c r="M295" t="str">
        <f>""</f>
        <v/>
      </c>
    </row>
    <row r="296" spans="1:13" ht="15">
      <c r="A296" t="s">
        <v>197</v>
      </c>
      <c r="B296" t="str">
        <f>"6666"</f>
        <v>6666</v>
      </c>
      <c r="C296" t="str">
        <f>"1948"</f>
        <v>1948</v>
      </c>
      <c r="D296" t="str">
        <f>"Sinisen kammarin uni"</f>
        <v>Sinisen kammarin uni</v>
      </c>
      <c r="E296" t="str">
        <f t="shared" si="28"/>
        <v>viro</v>
      </c>
      <c r="F296" t="str">
        <f>"romaanid; proosa"</f>
        <v>romaanid; proosa</v>
      </c>
      <c r="G296" t="str">
        <f>"  täiskasvanud"</f>
        <v xml:space="preserve">  täiskasvanud</v>
      </c>
      <c r="H296" t="str">
        <f t="shared" si="29"/>
        <v>1971</v>
      </c>
      <c r="I296" t="str">
        <f>"Sinise kambri unenägu"</f>
        <v>Sinise kambri unenägu</v>
      </c>
      <c r="J296" t="str">
        <f>"Lepik, Harald"</f>
        <v>Lepik, Harald</v>
      </c>
      <c r="K296" t="str">
        <f>"Perioodika, Tallinn"</f>
        <v>Perioodika, Tallinn</v>
      </c>
      <c r="L296" t="str">
        <f>""</f>
        <v/>
      </c>
      <c r="M296" t="str">
        <f>""</f>
        <v/>
      </c>
    </row>
    <row r="297" spans="1:13" ht="15">
      <c r="A297" t="s">
        <v>262</v>
      </c>
      <c r="B297" t="str">
        <f>"9908"</f>
        <v>9908</v>
      </c>
      <c r="C297" t="str">
        <f>"1986"</f>
        <v>1986</v>
      </c>
      <c r="D297" t="str">
        <f>"Jean Sibelius : muistelma suuresta ihmisestä"</f>
        <v>Jean Sibelius : muistelma suuresta ihmisestä</v>
      </c>
      <c r="E297" t="str">
        <f t="shared" si="28"/>
        <v>viro</v>
      </c>
      <c r="F297" t="str">
        <f>""</f>
        <v/>
      </c>
      <c r="G297" t="str">
        <f>"  täiskasvanud"</f>
        <v xml:space="preserve">  täiskasvanud</v>
      </c>
      <c r="H297" t="str">
        <f t="shared" si="29"/>
        <v>1971</v>
      </c>
      <c r="I297" t="str">
        <f>"Jean Sibelius"</f>
        <v>Jean Sibelius</v>
      </c>
      <c r="J297" t="str">
        <f>"Sarv, L., Viiding, L."</f>
        <v>Sarv, L., Viiding, L.</v>
      </c>
      <c r="K297" t="str">
        <f>"Eesti Raamat, Tallinn"</f>
        <v>Eesti Raamat, Tallinn</v>
      </c>
      <c r="L297" t="str">
        <f>""</f>
        <v/>
      </c>
      <c r="M297" t="str">
        <f>""</f>
        <v/>
      </c>
    </row>
    <row r="298" spans="1:13" ht="15">
      <c r="A298" t="s">
        <v>469</v>
      </c>
      <c r="B298" t="str">
        <f>"6741"</f>
        <v>6741</v>
      </c>
      <c r="C298" t="str">
        <f>""</f>
        <v/>
      </c>
      <c r="D298" t="str">
        <f>""</f>
        <v/>
      </c>
      <c r="E298" t="str">
        <f t="shared" si="28"/>
        <v>viro</v>
      </c>
      <c r="F298" t="str">
        <f>"luule, lüürika"</f>
        <v>luule, lüürika</v>
      </c>
      <c r="G298" t="str">
        <f>"  täiskasvanud"</f>
        <v xml:space="preserve">  täiskasvanud</v>
      </c>
      <c r="H298" t="str">
        <f t="shared" si="29"/>
        <v>1971</v>
      </c>
      <c r="I298" t="str">
        <f>"Kolm naeru on minul"</f>
        <v>Kolm naeru on minul</v>
      </c>
      <c r="J298" t="str">
        <f>"Vaarandi, Debora"</f>
        <v>Vaarandi, Debora</v>
      </c>
      <c r="K298" t="str">
        <f>"Eesti Raamat, Tallinn"</f>
        <v>Eesti Raamat, Tallinn</v>
      </c>
      <c r="L298" t="str">
        <f>""</f>
        <v/>
      </c>
      <c r="M298" t="str">
        <f>""</f>
        <v/>
      </c>
    </row>
    <row r="299" spans="1:13" ht="15">
      <c r="A299" t="s">
        <v>54</v>
      </c>
      <c r="B299" t="str">
        <f>"6603"</f>
        <v>6603</v>
      </c>
      <c r="C299" t="str">
        <f>"1945"</f>
        <v>1945</v>
      </c>
      <c r="D299" t="str">
        <f>"Yhdeksän miehen saappaat"</f>
        <v>Yhdeksän miehen saappaat</v>
      </c>
      <c r="E299" t="str">
        <f t="shared" si="28"/>
        <v>viro</v>
      </c>
      <c r="F299" t="str">
        <f>"romaanid; proosa"</f>
        <v>romaanid; proosa</v>
      </c>
      <c r="G299" t="str">
        <f>"  täiskasvanud"</f>
        <v xml:space="preserve">  täiskasvanud</v>
      </c>
      <c r="H299" t="str">
        <f>"1972"</f>
        <v>1972</v>
      </c>
      <c r="I299" t="str">
        <f>"Üheksa mehe saapad"</f>
        <v>Üheksa mehe saapad</v>
      </c>
      <c r="J299" t="str">
        <f>"Lepik, Harald"</f>
        <v>Lepik, Harald</v>
      </c>
      <c r="K299" t="str">
        <f>"Perioodika, Tallinn"</f>
        <v>Perioodika, Tallinn</v>
      </c>
      <c r="L299" t="str">
        <f>""</f>
        <v/>
      </c>
      <c r="M299" t="str">
        <f>""</f>
        <v/>
      </c>
    </row>
    <row r="300" spans="1:13" ht="15">
      <c r="A300" t="s">
        <v>255</v>
      </c>
      <c r="B300" t="str">
        <f>"6682"</f>
        <v>6682</v>
      </c>
      <c r="C300" t="str">
        <f>""</f>
        <v/>
      </c>
      <c r="D300" t="str">
        <f>"Eino Leinon kauneimmat runot ; Valitut runot. 1"</f>
        <v>Eino Leinon kauneimmat runot ; Valitut runot. 1</v>
      </c>
      <c r="E300" t="str">
        <f t="shared" si="28"/>
        <v>viro</v>
      </c>
      <c r="F300" t="str">
        <f>"luule, lüürika"</f>
        <v>luule, lüürika</v>
      </c>
      <c r="G300" t="str">
        <f>"  täiskasvanud"</f>
        <v xml:space="preserve">  täiskasvanud</v>
      </c>
      <c r="H300" t="str">
        <f>"1972"</f>
        <v>1972</v>
      </c>
      <c r="I300" t="str">
        <f>"Kaunimad laulud"</f>
        <v>Kaunimad laulud</v>
      </c>
      <c r="J300" t="str">
        <f>"Annist, August, Niit, Ellen, Oras, Ants, Suits, Gustav, Vaarandi, Debora"</f>
        <v>Annist, August, Niit, Ellen, Oras, Ants, Suits, Gustav, Vaarandi, Debora</v>
      </c>
      <c r="K300" t="str">
        <f>"Eesti Raamat, Tallinn"</f>
        <v>Eesti Raamat, Tallinn</v>
      </c>
      <c r="L300" t="str">
        <f>""</f>
        <v/>
      </c>
      <c r="M300" t="str">
        <f>""</f>
        <v/>
      </c>
    </row>
    <row r="301" spans="1:13" ht="15">
      <c r="A301" t="s">
        <v>355</v>
      </c>
      <c r="B301" t="str">
        <f>"5110"</f>
        <v>5110</v>
      </c>
      <c r="C301" t="str">
        <f>"1959"</f>
        <v>1959</v>
      </c>
      <c r="D301" t="str">
        <f>"Priska"</f>
        <v>Priska</v>
      </c>
      <c r="E301" t="str">
        <f t="shared" si="28"/>
        <v>viro</v>
      </c>
      <c r="F301" t="str">
        <f>"romaanid; proosa"</f>
        <v>romaanid; proosa</v>
      </c>
      <c r="G301" t="str">
        <f>" lapsed ja noored"</f>
        <v xml:space="preserve"> lapsed ja noored</v>
      </c>
      <c r="H301" t="str">
        <f>"1972"</f>
        <v>1972</v>
      </c>
      <c r="I301" t="str">
        <f>"Priska"</f>
        <v>Priska</v>
      </c>
      <c r="J301" t="str">
        <f>"Künnap, Välja"</f>
        <v>Künnap, Välja</v>
      </c>
      <c r="K301" t="str">
        <f>"Eesti Raamat, Tallinn"</f>
        <v>Eesti Raamat, Tallinn</v>
      </c>
      <c r="L301" t="str">
        <f>""</f>
        <v/>
      </c>
      <c r="M301" t="str">
        <f>""</f>
        <v/>
      </c>
    </row>
    <row r="302" spans="1:13" ht="15">
      <c r="A302" t="s">
        <v>541</v>
      </c>
      <c r="B302" t="str">
        <f>"10166"</f>
        <v>10166</v>
      </c>
      <c r="C302" t="str">
        <f>"1933"</f>
        <v>1933</v>
      </c>
      <c r="D302" t="str">
        <f>"Vaimoke"</f>
        <v>Vaimoke</v>
      </c>
      <c r="E302" t="str">
        <f t="shared" si="28"/>
        <v>viro</v>
      </c>
      <c r="F302" t="str">
        <f>"romaanid; proosa"</f>
        <v>romaanid; proosa</v>
      </c>
      <c r="G302" t="str">
        <f>"  täiskasvanud"</f>
        <v xml:space="preserve">  täiskasvanud</v>
      </c>
      <c r="H302" t="str">
        <f>"1972"</f>
        <v>1972</v>
      </c>
      <c r="I302" t="str">
        <f>"Asenaine"</f>
        <v>Asenaine</v>
      </c>
      <c r="J302" t="str">
        <f>""</f>
        <v/>
      </c>
      <c r="K302" t="str">
        <f>"Orto, Toronto"</f>
        <v>Orto, Toronto</v>
      </c>
      <c r="L302" t="str">
        <f>""</f>
        <v/>
      </c>
      <c r="M302" t="str">
        <f>""</f>
        <v/>
      </c>
    </row>
    <row r="303" spans="1:13" ht="15">
      <c r="A303" t="s">
        <v>544</v>
      </c>
      <c r="B303" t="str">
        <f>"6783"</f>
        <v>6783</v>
      </c>
      <c r="C303" t="str">
        <f>"1957"</f>
        <v>1957</v>
      </c>
      <c r="D303" t="str">
        <f>"Se on sitten kevät"</f>
        <v>Se on sitten kevät</v>
      </c>
      <c r="E303" t="str">
        <f t="shared" si="28"/>
        <v>viro</v>
      </c>
      <c r="F303" t="str">
        <f>"romaanid; proosa"</f>
        <v>romaanid; proosa</v>
      </c>
      <c r="G303" t="str">
        <f>"  täiskasvanud"</f>
        <v xml:space="preserve">  täiskasvanud</v>
      </c>
      <c r="H303" t="str">
        <f>"1972"</f>
        <v>1972</v>
      </c>
      <c r="I303" t="str">
        <f>"See on siis kevad"</f>
        <v>See on siis kevad</v>
      </c>
      <c r="J303" t="str">
        <f>"Kastein, Luule"</f>
        <v>Kastein, Luule</v>
      </c>
      <c r="K303" t="str">
        <f>"Eesti Raamat, Tallinn"</f>
        <v>Eesti Raamat, Tallinn</v>
      </c>
      <c r="L303" t="str">
        <f>""</f>
        <v/>
      </c>
      <c r="M303" t="str">
        <f>""</f>
        <v/>
      </c>
    </row>
    <row r="304" spans="1:13" ht="15">
      <c r="A304" t="s">
        <v>92</v>
      </c>
      <c r="B304" t="str">
        <f>"6613"</f>
        <v>6613</v>
      </c>
      <c r="C304" t="str">
        <f>"1969"</f>
        <v>1969</v>
      </c>
      <c r="D304" t="str">
        <f>"Mikäpä tässä"</f>
        <v>Mikäpä tässä</v>
      </c>
      <c r="E304" t="str">
        <f t="shared" si="28"/>
        <v>viro</v>
      </c>
      <c r="F304" t="str">
        <f>"lühiproosa, proosa"</f>
        <v>lühiproosa, proosa</v>
      </c>
      <c r="G304" t="str">
        <f>"  täiskasvanud"</f>
        <v xml:space="preserve">  täiskasvanud</v>
      </c>
      <c r="H304" t="str">
        <f>"1973"</f>
        <v>1973</v>
      </c>
      <c r="I304" t="str">
        <f>"Joodiku eetika"</f>
        <v>Joodiku eetika</v>
      </c>
      <c r="J304" t="str">
        <f>"Kaber, Indrek"</f>
        <v>Kaber, Indrek</v>
      </c>
      <c r="K304" t="str">
        <f>"Perioodika, Tallinn"</f>
        <v>Perioodika, Tallinn</v>
      </c>
      <c r="L304" t="str">
        <f>""</f>
        <v/>
      </c>
      <c r="M304" t="str">
        <f>""</f>
        <v/>
      </c>
    </row>
    <row r="305" spans="1:13" ht="15">
      <c r="A305" t="s">
        <v>199</v>
      </c>
      <c r="B305" t="str">
        <f>"6668"</f>
        <v>6668</v>
      </c>
      <c r="C305" t="str">
        <f>"1957"</f>
        <v>1957</v>
      </c>
      <c r="D305" t="str">
        <f>"Ungelon torppa"</f>
        <v>Ungelon torppa</v>
      </c>
      <c r="E305" t="str">
        <f t="shared" si="28"/>
        <v>viro</v>
      </c>
      <c r="F305" t="str">
        <f>"romaanid; proosa"</f>
        <v>romaanid; proosa</v>
      </c>
      <c r="G305" t="str">
        <f>"  täiskasvanud"</f>
        <v xml:space="preserve">  täiskasvanud</v>
      </c>
      <c r="H305" t="str">
        <f>"1973"</f>
        <v>1973</v>
      </c>
      <c r="I305" t="str">
        <f>"Ungelo tare"</f>
        <v>Ungelo tare</v>
      </c>
      <c r="J305" t="str">
        <f>"Tamm, Inger"</f>
        <v>Tamm, Inger</v>
      </c>
      <c r="K305" t="str">
        <f>"Eesti Raamat, Tallinn"</f>
        <v>Eesti Raamat, Tallinn</v>
      </c>
      <c r="L305" t="str">
        <f>""</f>
        <v/>
      </c>
      <c r="M305" t="str">
        <f>""</f>
        <v/>
      </c>
    </row>
    <row r="306" spans="1:13" ht="15">
      <c r="A306" t="s">
        <v>297</v>
      </c>
      <c r="B306" t="str">
        <f>"6702"</f>
        <v>6702</v>
      </c>
      <c r="C306" t="str">
        <f>"1958"</f>
        <v>1958</v>
      </c>
      <c r="D306" t="str">
        <f>"Jyrsijät"</f>
        <v>Jyrsijät</v>
      </c>
      <c r="E306" t="str">
        <f t="shared" si="28"/>
        <v>viro</v>
      </c>
      <c r="F306" t="str">
        <f>"romaanid; proosa"</f>
        <v>romaanid; proosa</v>
      </c>
      <c r="G306" t="str">
        <f>"  täiskasvanud"</f>
        <v xml:space="preserve">  täiskasvanud</v>
      </c>
      <c r="H306" t="str">
        <f>"1973"</f>
        <v>1973</v>
      </c>
      <c r="I306" t="str">
        <f>"Närilised"</f>
        <v>Närilised</v>
      </c>
      <c r="J306" t="str">
        <f>"Mallene, Endel"</f>
        <v>Mallene, Endel</v>
      </c>
      <c r="K306" t="str">
        <f>"Perioodika, Tallinn"</f>
        <v>Perioodika, Tallinn</v>
      </c>
      <c r="L306" t="str">
        <f>""</f>
        <v/>
      </c>
      <c r="M306" t="str">
        <f>""</f>
        <v/>
      </c>
    </row>
    <row r="307" spans="1:13" ht="15">
      <c r="A307" t="s">
        <v>391</v>
      </c>
      <c r="B307" t="str">
        <f>"6720"</f>
        <v>6720</v>
      </c>
      <c r="C307" t="str">
        <f>"1965"</f>
        <v>1965</v>
      </c>
      <c r="D307" t="str">
        <f>"Huippumaileri"</f>
        <v>Huippumaileri</v>
      </c>
      <c r="E307" t="str">
        <f t="shared" si="28"/>
        <v>viro</v>
      </c>
      <c r="F307" t="str">
        <f>"romaanid; proosa"</f>
        <v>romaanid; proosa</v>
      </c>
      <c r="G307" t="str">
        <f>" lapsed ja noored"</f>
        <v xml:space="preserve"> lapsed ja noored</v>
      </c>
      <c r="H307" t="str">
        <f>"1973"</f>
        <v>1973</v>
      </c>
      <c r="I307" t="str">
        <f>"Tippmailer"</f>
        <v>Tippmailer</v>
      </c>
      <c r="J307" t="str">
        <f>"Tani, Agu"</f>
        <v>Tani, Agu</v>
      </c>
      <c r="K307" t="str">
        <f>"Eesti Raamat, Tallinn"</f>
        <v>Eesti Raamat, Tallinn</v>
      </c>
      <c r="L307" t="str">
        <f>""</f>
        <v/>
      </c>
      <c r="M307" t="str">
        <f>""</f>
        <v/>
      </c>
    </row>
    <row r="308" spans="1:13" ht="15">
      <c r="A308" t="s">
        <v>451</v>
      </c>
      <c r="B308" t="str">
        <f>"6730"</f>
        <v>6730</v>
      </c>
      <c r="C308" t="str">
        <f>"1961"</f>
        <v>1961</v>
      </c>
      <c r="D308" t="str">
        <f>"Lavean tien laki"</f>
        <v>Lavean tien laki</v>
      </c>
      <c r="E308" t="str">
        <f t="shared" si="28"/>
        <v>viro</v>
      </c>
      <c r="F308" t="str">
        <f>"romaanid; põnevus- ja krimikirjandus; proosa"</f>
        <v>romaanid; põnevus- ja krimikirjandus; proosa</v>
      </c>
      <c r="G308" t="str">
        <f>"  täiskasvanud"</f>
        <v xml:space="preserve">  täiskasvanud</v>
      </c>
      <c r="H308" t="str">
        <f>"1973"</f>
        <v>1973</v>
      </c>
      <c r="I308" t="str">
        <f>"Laia tee seadus"</f>
        <v>Laia tee seadus</v>
      </c>
      <c r="J308" t="str">
        <f>"Lepik, Harald"</f>
        <v>Lepik, Harald</v>
      </c>
      <c r="K308" t="str">
        <f>"Eesti Raamat, Tallinn"</f>
        <v>Eesti Raamat, Tallinn</v>
      </c>
      <c r="L308" t="str">
        <f>""</f>
        <v/>
      </c>
      <c r="M308" t="str">
        <f>""</f>
        <v/>
      </c>
    </row>
    <row r="309" spans="1:13" ht="15">
      <c r="A309" t="s">
        <v>373</v>
      </c>
      <c r="B309" t="str">
        <f>"6717"</f>
        <v>6717</v>
      </c>
      <c r="C309" t="str">
        <f>"1971"</f>
        <v>1971</v>
      </c>
      <c r="D309" t="str">
        <f>"Syreenikiitäjä"</f>
        <v>Syreenikiitäjä</v>
      </c>
      <c r="E309" t="str">
        <f t="shared" si="28"/>
        <v>viro</v>
      </c>
      <c r="F309" t="str">
        <f>"romaanid; proosa"</f>
        <v>romaanid; proosa</v>
      </c>
      <c r="G309" t="str">
        <f>"  täiskasvanud"</f>
        <v xml:space="preserve">  täiskasvanud</v>
      </c>
      <c r="H309" t="str">
        <f>"1974"</f>
        <v>1974</v>
      </c>
      <c r="I309" t="str">
        <f>"Sirelisuru"</f>
        <v>Sirelisuru</v>
      </c>
      <c r="J309" t="str">
        <f>"Niit, Toomas"</f>
        <v>Niit, Toomas</v>
      </c>
      <c r="K309" t="str">
        <f>"Perioodika, Tallinn"</f>
        <v>Perioodika, Tallinn</v>
      </c>
      <c r="L309" t="str">
        <f>""</f>
        <v/>
      </c>
      <c r="M309" t="str">
        <f>""</f>
        <v/>
      </c>
    </row>
    <row r="310" spans="1:13" ht="15">
      <c r="A310" t="s">
        <v>537</v>
      </c>
      <c r="B310" t="str">
        <f>"6768"</f>
        <v>6768</v>
      </c>
      <c r="C310" t="str">
        <f>""</f>
        <v/>
      </c>
      <c r="D310" t="str">
        <f>""</f>
        <v/>
      </c>
      <c r="E310" t="str">
        <f t="shared" si="28"/>
        <v>viro</v>
      </c>
      <c r="F310" t="str">
        <f>"luule, lüürika"</f>
        <v>luule, lüürika</v>
      </c>
      <c r="G310" t="str">
        <f>"  täiskasvanud"</f>
        <v xml:space="preserve">  täiskasvanud</v>
      </c>
      <c r="H310" t="str">
        <f>"1974"</f>
        <v>1974</v>
      </c>
      <c r="I310" t="str">
        <f>"Sinine rohtaed"</f>
        <v>Sinine rohtaed</v>
      </c>
      <c r="J310" t="str">
        <f>"Vaarandi, Debora"</f>
        <v>Vaarandi, Debora</v>
      </c>
      <c r="K310" t="str">
        <f>"Eesti Raamat, Tallinn"</f>
        <v>Eesti Raamat, Tallinn</v>
      </c>
      <c r="L310" t="str">
        <f>""</f>
        <v/>
      </c>
      <c r="M310" t="str">
        <f>""</f>
        <v/>
      </c>
    </row>
    <row r="311" spans="1:13" ht="15">
      <c r="A311" t="s">
        <v>117</v>
      </c>
      <c r="B311" t="str">
        <f>"11352"</f>
        <v>11352</v>
      </c>
      <c r="C311" t="str">
        <f>"1965"</f>
        <v>1965</v>
      </c>
      <c r="D311" t="str">
        <f>"Trollvinter ; Muminpappans memoarer ; Det osynliga barnet ; Pappan och havet"</f>
        <v>Trollvinter ; Muminpappans memoarer ; Det osynliga barnet ; Pappan och havet</v>
      </c>
      <c r="E311" t="str">
        <f t="shared" si="28"/>
        <v>viro</v>
      </c>
      <c r="F311" t="str">
        <f>"proosa"</f>
        <v>proosa</v>
      </c>
      <c r="G311" t="str">
        <f>" lapsed ja noored"</f>
        <v xml:space="preserve"> lapsed ja noored</v>
      </c>
      <c r="H311" t="str">
        <f>"1975"</f>
        <v>1975</v>
      </c>
      <c r="I311" t="str">
        <f>"Muumitroll"</f>
        <v>Muumitroll</v>
      </c>
      <c r="J311" t="str">
        <f>"Beekman, Vladimir"</f>
        <v>Beekman, Vladimir</v>
      </c>
      <c r="K311" t="str">
        <f>"Eesti Raamat, Tallinn"</f>
        <v>Eesti Raamat, Tallinn</v>
      </c>
      <c r="L311" t="str">
        <f>""</f>
        <v/>
      </c>
      <c r="M311" t="str">
        <f>""</f>
        <v/>
      </c>
    </row>
    <row r="312" spans="1:13" ht="15">
      <c r="A312" t="s">
        <v>308</v>
      </c>
      <c r="B312" t="str">
        <f>"6887"</f>
        <v>6887</v>
      </c>
      <c r="C312" t="str">
        <f>"1973"</f>
        <v>1973</v>
      </c>
      <c r="D312" t="str">
        <f>"Aleksis Stenvallin elämä"</f>
        <v>Aleksis Stenvallin elämä</v>
      </c>
      <c r="E312" t="str">
        <f t="shared" si="28"/>
        <v>viro</v>
      </c>
      <c r="F312" t="str">
        <f>""</f>
        <v/>
      </c>
      <c r="G312" t="str">
        <f>"  täiskasvanud"</f>
        <v xml:space="preserve">  täiskasvanud</v>
      </c>
      <c r="H312" t="str">
        <f>"1975"</f>
        <v>1975</v>
      </c>
      <c r="I312" t="str">
        <f>"Aleksis Stenvalli elu"</f>
        <v>Aleksis Stenvalli elu</v>
      </c>
      <c r="J312" t="str">
        <f>"Mallene, Endel"</f>
        <v>Mallene, Endel</v>
      </c>
      <c r="K312" t="str">
        <f>"Perioodika, Tallinn"</f>
        <v>Perioodika, Tallinn</v>
      </c>
      <c r="L312" t="str">
        <f>""</f>
        <v/>
      </c>
      <c r="M312" t="str">
        <f>""</f>
        <v/>
      </c>
    </row>
    <row r="313" spans="1:13" ht="15">
      <c r="A313" t="s">
        <v>466</v>
      </c>
      <c r="B313" t="str">
        <f>"6735"</f>
        <v>6735</v>
      </c>
      <c r="C313" t="str">
        <f>""</f>
        <v/>
      </c>
      <c r="D313" t="str">
        <f>"Nuorena nukkunut ; Ihmiselon ihanuus ja kurjuus"</f>
        <v>Nuorena nukkunut ; Ihmiselon ihanuus ja kurjuus</v>
      </c>
      <c r="E313" t="str">
        <f t="shared" si="28"/>
        <v>viro</v>
      </c>
      <c r="F313" t="str">
        <f>"romaanid; proosa"</f>
        <v>romaanid; proosa</v>
      </c>
      <c r="G313" t="str">
        <f>"  täiskasvanud"</f>
        <v xml:space="preserve">  täiskasvanud</v>
      </c>
      <c r="H313" t="str">
        <f>"1975"</f>
        <v>1975</v>
      </c>
      <c r="I313" t="str">
        <f>"Noorena uinunud ; Inimelu võlu ja vaev"</f>
        <v>Noorena uinunud ; Inimelu võlu ja vaev</v>
      </c>
      <c r="J313" t="str">
        <f>"Lepik, Harald, Lepik, Mart"</f>
        <v>Lepik, Harald, Lepik, Mart</v>
      </c>
      <c r="K313" t="str">
        <f>"Eesti Raamat, Tallinn"</f>
        <v>Eesti Raamat, Tallinn</v>
      </c>
      <c r="L313" t="str">
        <f>""</f>
        <v/>
      </c>
      <c r="M313" t="str">
        <f>""</f>
        <v/>
      </c>
    </row>
    <row r="314" spans="1:13" ht="15">
      <c r="A314" t="s">
        <v>57</v>
      </c>
      <c r="B314" t="str">
        <f>"6606"</f>
        <v>6606</v>
      </c>
      <c r="C314" t="str">
        <f>""</f>
        <v/>
      </c>
      <c r="D314" t="str">
        <f>"Neljätoista hallitsijaa ; Puhua, vastata, opettaa"</f>
        <v>Neljätoista hallitsijaa ; Puhua, vastata, opettaa</v>
      </c>
      <c r="E314" t="str">
        <f t="shared" si="28"/>
        <v>viro</v>
      </c>
      <c r="F314" t="str">
        <f>"runot; proosa; lyriikka"</f>
        <v>runot; proosa; lyriikka</v>
      </c>
      <c r="G314" t="str">
        <f>"  täiskasvanud"</f>
        <v xml:space="preserve">  täiskasvanud</v>
      </c>
      <c r="H314" t="str">
        <f>"1976"</f>
        <v>1976</v>
      </c>
      <c r="I314" t="str">
        <f>"Neliteist valitsejat. Rääkida, vastada, õpetada"</f>
        <v>Neliteist valitsejat. Rääkida, vastada, õpetada</v>
      </c>
      <c r="J314" t="str">
        <f>"Lättemäe, Eha, Nurme, Minni, Rummo, Paul-Eerik"</f>
        <v>Lättemäe, Eha, Nurme, Minni, Rummo, Paul-Eerik</v>
      </c>
      <c r="K314" t="str">
        <f>"Perioodika, Tallinn"</f>
        <v>Perioodika, Tallinn</v>
      </c>
      <c r="L314" t="str">
        <f>""</f>
        <v/>
      </c>
      <c r="M314" t="str">
        <f>""</f>
        <v/>
      </c>
    </row>
    <row r="315" spans="1:13" ht="15">
      <c r="A315" t="s">
        <v>185</v>
      </c>
      <c r="B315" t="str">
        <f>"6659"</f>
        <v>6659</v>
      </c>
      <c r="C315" t="str">
        <f>""</f>
        <v/>
      </c>
      <c r="D315" t="str">
        <f>""</f>
        <v/>
      </c>
      <c r="E315" t="str">
        <f t="shared" si="28"/>
        <v>viro</v>
      </c>
      <c r="F315" t="str">
        <f>"luule, lüürika"</f>
        <v>luule, lüürika</v>
      </c>
      <c r="G315" t="str">
        <f>"  täiskasvanud"</f>
        <v xml:space="preserve">  täiskasvanud</v>
      </c>
      <c r="H315" t="str">
        <f>"1976"</f>
        <v>1976</v>
      </c>
      <c r="I315" t="str">
        <f>"Luulet"</f>
        <v>Luulet</v>
      </c>
      <c r="J315" t="str">
        <f>"Vaarandi, Debora"</f>
        <v>Vaarandi, Debora</v>
      </c>
      <c r="K315" t="str">
        <f>"Eesti Raamat, Tallinn"</f>
        <v>Eesti Raamat, Tallinn</v>
      </c>
      <c r="L315" t="str">
        <f>""</f>
        <v/>
      </c>
      <c r="M315" t="str">
        <f>""</f>
        <v/>
      </c>
    </row>
    <row r="316" spans="1:13" ht="15">
      <c r="A316" t="s">
        <v>376</v>
      </c>
      <c r="B316" t="str">
        <f>"6718"</f>
        <v>6718</v>
      </c>
      <c r="C316" t="str">
        <f>"1973"</f>
        <v>1973</v>
      </c>
      <c r="D316" t="str">
        <f>"Valitut novellit"</f>
        <v>Valitut novellit</v>
      </c>
      <c r="E316" t="str">
        <f t="shared" si="28"/>
        <v>viro</v>
      </c>
      <c r="F316" t="str">
        <f>"lühiproosa, proosa"</f>
        <v>lühiproosa, proosa</v>
      </c>
      <c r="G316" t="str">
        <f>"  täiskasvanud"</f>
        <v xml:space="preserve">  täiskasvanud</v>
      </c>
      <c r="H316" t="str">
        <f>"1976"</f>
        <v>1976</v>
      </c>
      <c r="I316" t="str">
        <f>"Saladus"</f>
        <v>Saladus</v>
      </c>
      <c r="J316" t="str">
        <f>"Sirp, Luule"</f>
        <v>Sirp, Luule</v>
      </c>
      <c r="K316" t="str">
        <f>"Perioodika, Tallinn"</f>
        <v>Perioodika, Tallinn</v>
      </c>
      <c r="L316" t="str">
        <f>""</f>
        <v/>
      </c>
      <c r="M316" t="str">
        <f>""</f>
        <v/>
      </c>
    </row>
    <row r="317" spans="2:13" ht="15">
      <c r="B317" t="str">
        <f>"3335"</f>
        <v>3335</v>
      </c>
      <c r="C317" t="str">
        <f>""</f>
        <v/>
      </c>
      <c r="D317" t="str">
        <f>""</f>
        <v/>
      </c>
      <c r="E317" t="str">
        <f t="shared" si="28"/>
        <v>viro</v>
      </c>
      <c r="F317" t="str">
        <f>"lühiproosa, proosa"</f>
        <v>lühiproosa, proosa</v>
      </c>
      <c r="G317" t="str">
        <f>"  täiskasvanud"</f>
        <v xml:space="preserve">  täiskasvanud</v>
      </c>
      <c r="H317" t="str">
        <f>"1977"</f>
        <v>1977</v>
      </c>
      <c r="I317" t="str">
        <f>"Soome lühiproosat Harald Lepiku eestinduses"</f>
        <v>Soome lühiproosat Harald Lepiku eestinduses</v>
      </c>
      <c r="J317" t="str">
        <f>"Lepik, Harald"</f>
        <v>Lepik, Harald</v>
      </c>
      <c r="K317" t="str">
        <f>"Eesti Raamat, Tallinn"</f>
        <v>Eesti Raamat, Tallinn</v>
      </c>
      <c r="L317" t="str">
        <f>""</f>
        <v/>
      </c>
      <c r="M317" t="str">
        <f>""</f>
        <v/>
      </c>
    </row>
    <row r="318" spans="2:13" ht="15">
      <c r="B318" t="str">
        <f>"3336"</f>
        <v>3336</v>
      </c>
      <c r="C318" t="str">
        <f>"1975"</f>
        <v>1975</v>
      </c>
      <c r="D318" t="str">
        <f>"Finlandssvenska noveller"</f>
        <v>Finlandssvenska noveller</v>
      </c>
      <c r="E318" t="str">
        <f t="shared" si="28"/>
        <v>viro</v>
      </c>
      <c r="F318" t="str">
        <f>"lühiproosa, proosa"</f>
        <v>lühiproosa, proosa</v>
      </c>
      <c r="G318" t="str">
        <f>"  täiskasvanud"</f>
        <v xml:space="preserve">  täiskasvanud</v>
      </c>
      <c r="H318" t="str">
        <f>"1977"</f>
        <v>1977</v>
      </c>
      <c r="I318" t="str">
        <f>"Vastutus"</f>
        <v>Vastutus</v>
      </c>
      <c r="J318" t="str">
        <f>"Aaloe, Ülev"</f>
        <v>Aaloe, Ülev</v>
      </c>
      <c r="K318" t="str">
        <f>"Perioodika, Tallinn"</f>
        <v>Perioodika, Tallinn</v>
      </c>
      <c r="L318" t="str">
        <f>""</f>
        <v/>
      </c>
      <c r="M318" t="str">
        <f>""</f>
        <v/>
      </c>
    </row>
    <row r="319" spans="1:13" ht="15">
      <c r="A319" t="s">
        <v>171</v>
      </c>
      <c r="B319" t="str">
        <f>"2863"</f>
        <v>2863</v>
      </c>
      <c r="C319" t="str">
        <f>"1970"</f>
        <v>1970</v>
      </c>
      <c r="D319" t="str">
        <f>"Tabut"</f>
        <v>Tabut</v>
      </c>
      <c r="E319" t="str">
        <f t="shared" si="28"/>
        <v>viro</v>
      </c>
      <c r="F319" t="str">
        <f>"romaanid; proosa"</f>
        <v>romaanid; proosa</v>
      </c>
      <c r="G319" t="str">
        <f>" lapsed ja noored"</f>
        <v xml:space="preserve"> lapsed ja noored</v>
      </c>
      <c r="H319" t="str">
        <f>"1977"</f>
        <v>1977</v>
      </c>
      <c r="I319" t="str">
        <f>"Tabletid"</f>
        <v>Tabletid</v>
      </c>
      <c r="J319" t="str">
        <f>"Niit, Toomas"</f>
        <v>Niit, Toomas</v>
      </c>
      <c r="K319" t="str">
        <f>"Eesti Raamat, Tallinn"</f>
        <v>Eesti Raamat, Tallinn</v>
      </c>
      <c r="L319" t="str">
        <f>"2. p."</f>
        <v>2. p.</v>
      </c>
      <c r="M319" t="str">
        <f>""</f>
        <v/>
      </c>
    </row>
    <row r="320" spans="1:13" ht="15">
      <c r="A320" t="s">
        <v>216</v>
      </c>
      <c r="B320" t="str">
        <f>"2867"</f>
        <v>2867</v>
      </c>
      <c r="C320" t="str">
        <f>"1956"</f>
        <v>1956</v>
      </c>
      <c r="D320" t="str">
        <f>"Tiitiäisen satupuu"</f>
        <v>Tiitiäisen satupuu</v>
      </c>
      <c r="E320" t="str">
        <f t="shared" si="28"/>
        <v>viro</v>
      </c>
      <c r="F320" t="str">
        <f>"luule, lüürika"</f>
        <v>luule, lüürika</v>
      </c>
      <c r="G320" t="str">
        <f>" lapsed ja noored"</f>
        <v xml:space="preserve"> lapsed ja noored</v>
      </c>
      <c r="H320" t="str">
        <f>"1978"</f>
        <v>1978</v>
      </c>
      <c r="I320" t="str">
        <f>"Siil ja kuu"</f>
        <v>Siil ja kuu</v>
      </c>
      <c r="J320" t="str">
        <f>"Raud, Eno"</f>
        <v>Raud, Eno</v>
      </c>
      <c r="K320" t="str">
        <f>"Eesti Raamat, Tallinn"</f>
        <v>Eesti Raamat, Tallinn</v>
      </c>
      <c r="L320" t="str">
        <f>""</f>
        <v/>
      </c>
      <c r="M320" t="str">
        <f>""</f>
        <v/>
      </c>
    </row>
    <row r="321" spans="1:13" ht="15">
      <c r="A321" t="s">
        <v>308</v>
      </c>
      <c r="B321" t="str">
        <f>"6704"</f>
        <v>6704</v>
      </c>
      <c r="C321" t="str">
        <f>""</f>
        <v/>
      </c>
      <c r="D321" t="str">
        <f>"Sata metriä korkeat kirjaimet"</f>
        <v>Sata metriä korkeat kirjaimet</v>
      </c>
      <c r="E321" t="str">
        <f t="shared" si="28"/>
        <v>viro</v>
      </c>
      <c r="F321" t="str">
        <f>"lühiproosa, proosa"</f>
        <v>lühiproosa, proosa</v>
      </c>
      <c r="G321" t="str">
        <f>"  täiskasvanud"</f>
        <v xml:space="preserve">  täiskasvanud</v>
      </c>
      <c r="H321" t="str">
        <f>"1978"</f>
        <v>1978</v>
      </c>
      <c r="I321" t="str">
        <f>"Saja meetri kõrgused tähed"</f>
        <v>Saja meetri kõrgused tähed</v>
      </c>
      <c r="J321" t="str">
        <f>"Kokla, Tiiu, Lepik, Harald, Mallene, Endel"</f>
        <v>Kokla, Tiiu, Lepik, Harald, Mallene, Endel</v>
      </c>
      <c r="K321" t="str">
        <f>"Eesti Raamat, Tallinn"</f>
        <v>Eesti Raamat, Tallinn</v>
      </c>
      <c r="L321" t="str">
        <f>""</f>
        <v/>
      </c>
      <c r="M321" t="str">
        <f>""</f>
        <v/>
      </c>
    </row>
    <row r="322" spans="1:13" ht="15">
      <c r="A322" t="s">
        <v>345</v>
      </c>
      <c r="B322" t="str">
        <f>"6709"</f>
        <v>6709</v>
      </c>
      <c r="C322" t="str">
        <f>"1976"</f>
        <v>1976</v>
      </c>
      <c r="D322" t="str">
        <f>"Kirsikkavarkaat"</f>
        <v>Kirsikkavarkaat</v>
      </c>
      <c r="E322" t="str">
        <f t="shared" si="28"/>
        <v>viro</v>
      </c>
      <c r="F322" t="str">
        <f>"lühiproosa, proosa"</f>
        <v>lühiproosa, proosa</v>
      </c>
      <c r="G322" t="str">
        <f>"  täiskasvanud"</f>
        <v xml:space="preserve">  täiskasvanud</v>
      </c>
      <c r="H322" t="str">
        <f>"1978"</f>
        <v>1978</v>
      </c>
      <c r="I322" t="str">
        <f>"Kirsivargad"</f>
        <v>Kirsivargad</v>
      </c>
      <c r="J322" t="str">
        <f>"Paikre, Ants"</f>
        <v>Paikre, Ants</v>
      </c>
      <c r="K322" t="str">
        <f>"Perioodika, Tallinn"</f>
        <v>Perioodika, Tallinn</v>
      </c>
      <c r="L322" t="str">
        <f>""</f>
        <v/>
      </c>
      <c r="M322" t="str">
        <f>""</f>
        <v/>
      </c>
    </row>
    <row r="323" spans="1:13" ht="15">
      <c r="A323" t="s">
        <v>485</v>
      </c>
      <c r="B323" t="str">
        <f>"2894"</f>
        <v>2894</v>
      </c>
      <c r="C323" t="str">
        <f>"1969"</f>
        <v>1969</v>
      </c>
      <c r="D323" t="str">
        <f>"Hyvin toimeentulevat ihmiset"</f>
        <v>Hyvin toimeentulevat ihmiset</v>
      </c>
      <c r="E323" t="str">
        <f aca="true" t="shared" si="30" ref="E323:E329">"viro"</f>
        <v>viro</v>
      </c>
      <c r="F323" t="str">
        <f>"romaanid; proosa"</f>
        <v>romaanid; proosa</v>
      </c>
      <c r="G323" t="str">
        <f>"  täiskasvanud"</f>
        <v xml:space="preserve">  täiskasvanud</v>
      </c>
      <c r="H323" t="str">
        <f>"1978"</f>
        <v>1978</v>
      </c>
      <c r="I323" t="str">
        <f>"Heal järjel inimesed"</f>
        <v>Heal järjel inimesed</v>
      </c>
      <c r="J323" t="str">
        <f>"Kokla, Tiiu"</f>
        <v>Kokla, Tiiu</v>
      </c>
      <c r="K323" t="str">
        <f>"Eesti Raamat, Tallinn"</f>
        <v>Eesti Raamat, Tallinn</v>
      </c>
      <c r="L323" t="str">
        <f>""</f>
        <v/>
      </c>
      <c r="M323" t="str">
        <f>""</f>
        <v/>
      </c>
    </row>
    <row r="324" spans="1:13" ht="15">
      <c r="A324" t="s">
        <v>5</v>
      </c>
      <c r="B324" t="str">
        <f>"9738"</f>
        <v>9738</v>
      </c>
      <c r="C324" t="str">
        <f>"1954"</f>
        <v>1954</v>
      </c>
      <c r="D324" t="str">
        <f>"Koko kaupungin Vinski"</f>
        <v>Koko kaupungin Vinski</v>
      </c>
      <c r="E324" t="str">
        <f t="shared" si="30"/>
        <v>viro</v>
      </c>
      <c r="F324" t="str">
        <f>"romaanid; proosa"</f>
        <v>romaanid; proosa</v>
      </c>
      <c r="G324" t="str">
        <f>" lapsed ja noored"</f>
        <v xml:space="preserve"> lapsed ja noored</v>
      </c>
      <c r="H324" t="str">
        <f>"1979"</f>
        <v>1979</v>
      </c>
      <c r="I324" t="str">
        <f>"Üle linna Vinski"</f>
        <v>Üle linna Vinski</v>
      </c>
      <c r="J324" t="str">
        <f>"Künnap, Välja"</f>
        <v>Künnap, Välja</v>
      </c>
      <c r="K324" t="str">
        <f>"Eesti Raamat, Tallinn"</f>
        <v>Eesti Raamat, Tallinn</v>
      </c>
      <c r="L324" t="str">
        <f>"2. p."</f>
        <v>2. p.</v>
      </c>
      <c r="M324" t="str">
        <f>""</f>
        <v/>
      </c>
    </row>
    <row r="325" spans="1:13" ht="15">
      <c r="A325" t="s">
        <v>145</v>
      </c>
      <c r="B325" t="str">
        <f>"2858"</f>
        <v>2858</v>
      </c>
      <c r="C325" t="str">
        <f>"1973"</f>
        <v>1973</v>
      </c>
      <c r="D325" t="str">
        <f>"On neidolla punapaula"</f>
        <v>On neidolla punapaula</v>
      </c>
      <c r="E325" t="str">
        <f t="shared" si="30"/>
        <v>viro</v>
      </c>
      <c r="F325" t="str">
        <f>"romaanid; proosa"</f>
        <v>romaanid; proosa</v>
      </c>
      <c r="G325" t="str">
        <f>"  täiskasvanud"</f>
        <v xml:space="preserve">  täiskasvanud</v>
      </c>
      <c r="H325" t="str">
        <f>"1979"</f>
        <v>1979</v>
      </c>
      <c r="I325" t="str">
        <f>"On neiuksel punapaela"</f>
        <v>On neiuksel punapaela</v>
      </c>
      <c r="J325" t="str">
        <f>"Sirp, Luule"</f>
        <v>Sirp, Luule</v>
      </c>
      <c r="K325" t="str">
        <f>"Eesti Raamat, Tallinn"</f>
        <v>Eesti Raamat, Tallinn</v>
      </c>
      <c r="L325" t="str">
        <f>""</f>
        <v/>
      </c>
      <c r="M325" t="str">
        <f>""</f>
        <v/>
      </c>
    </row>
    <row r="326" spans="1:13" ht="15">
      <c r="A326" t="s">
        <v>147</v>
      </c>
      <c r="B326" t="str">
        <f>"2860"</f>
        <v>2860</v>
      </c>
      <c r="C326" t="str">
        <f>"1959"</f>
        <v>1959</v>
      </c>
      <c r="D326" t="str">
        <f>"Aino Kallaksen kauneimmat runot"</f>
        <v>Aino Kallaksen kauneimmat runot</v>
      </c>
      <c r="E326" t="str">
        <f t="shared" si="30"/>
        <v>viro</v>
      </c>
      <c r="F326" t="str">
        <f>"luule, lüürika"</f>
        <v>luule, lüürika</v>
      </c>
      <c r="G326" t="str">
        <f>"  täiskasvanud"</f>
        <v xml:space="preserve">  täiskasvanud</v>
      </c>
      <c r="H326" t="str">
        <f>"1979"</f>
        <v>1979</v>
      </c>
      <c r="I326" t="str">
        <f>"Igaviku väraval"</f>
        <v>Igaviku väraval</v>
      </c>
      <c r="J326" t="str">
        <f>"Nurme, Minni"</f>
        <v>Nurme, Minni</v>
      </c>
      <c r="K326" t="str">
        <f>"Eesti Raamat, Tallinn"</f>
        <v>Eesti Raamat, Tallinn</v>
      </c>
      <c r="L326" t="str">
        <f>""</f>
        <v/>
      </c>
      <c r="M326" t="str">
        <f>""</f>
        <v/>
      </c>
    </row>
    <row r="327" spans="1:13" ht="15">
      <c r="A327" t="s">
        <v>357</v>
      </c>
      <c r="B327" t="str">
        <f>"2880"</f>
        <v>2880</v>
      </c>
      <c r="C327" t="str">
        <f>"1977"</f>
        <v>1977</v>
      </c>
      <c r="D327" t="str">
        <f>"Kadonnut armeija"</f>
        <v>Kadonnut armeija</v>
      </c>
      <c r="E327" t="str">
        <f t="shared" si="30"/>
        <v>viro</v>
      </c>
      <c r="F327" t="str">
        <f>"romaanid; proosa"</f>
        <v>romaanid; proosa</v>
      </c>
      <c r="G327" t="str">
        <f>"  täiskasvanud"</f>
        <v xml:space="preserve">  täiskasvanud</v>
      </c>
      <c r="H327" t="str">
        <f>"1979"</f>
        <v>1979</v>
      </c>
      <c r="I327" t="str">
        <f>"Kadunud armee"</f>
        <v>Kadunud armee</v>
      </c>
      <c r="J327" t="str">
        <f>"Paikre, Ants"</f>
        <v>Paikre, Ants</v>
      </c>
      <c r="K327" t="str">
        <f>"Perioodika, Tallinn"</f>
        <v>Perioodika, Tallinn</v>
      </c>
      <c r="L327" t="str">
        <f>""</f>
        <v/>
      </c>
      <c r="M327" t="str">
        <f>""</f>
        <v/>
      </c>
    </row>
    <row r="328" spans="1:13" ht="15">
      <c r="A328" t="s">
        <v>525</v>
      </c>
      <c r="B328" t="str">
        <f>"2902"</f>
        <v>2902</v>
      </c>
      <c r="C328" t="str">
        <f>""</f>
        <v/>
      </c>
      <c r="D328" t="str">
        <f>""</f>
        <v/>
      </c>
      <c r="E328" t="str">
        <f t="shared" si="30"/>
        <v>viro</v>
      </c>
      <c r="F328" t="str">
        <f>"luule, lüürika"</f>
        <v>luule, lüürika</v>
      </c>
      <c r="G328" t="str">
        <f>"  täiskasvanud"</f>
        <v xml:space="preserve">  täiskasvanud</v>
      </c>
      <c r="H328" t="str">
        <f>"1979"</f>
        <v>1979</v>
      </c>
      <c r="I328" t="str">
        <f>"Leiva kodumaa"</f>
        <v>Leiva kodumaa</v>
      </c>
      <c r="J328" t="str">
        <f>"Kross, Jaan"</f>
        <v>Kross, Jaan</v>
      </c>
      <c r="K328" t="str">
        <f>"Eesti Raamat, Tallinn"</f>
        <v>Eesti Raamat, Tallinn</v>
      </c>
      <c r="L328" t="str">
        <f>""</f>
        <v/>
      </c>
      <c r="M328" t="str">
        <f>""</f>
        <v/>
      </c>
    </row>
    <row r="329" spans="2:13" ht="15">
      <c r="B329" t="str">
        <f>"2888"</f>
        <v>2888</v>
      </c>
      <c r="C329" t="str">
        <f>""</f>
        <v/>
      </c>
      <c r="D329" t="str">
        <f>""</f>
        <v/>
      </c>
      <c r="E329" t="str">
        <f t="shared" si="30"/>
        <v>viro</v>
      </c>
      <c r="F329" t="str">
        <f>"folkloor"</f>
        <v>folkloor</v>
      </c>
      <c r="G329" t="str">
        <f>" lapsed ja noored"</f>
        <v xml:space="preserve"> lapsed ja noored</v>
      </c>
      <c r="H329" t="str">
        <f>"1980"</f>
        <v>1980</v>
      </c>
      <c r="I329" t="str">
        <f>"Soome muinaisjutte"</f>
        <v>Soome muinaisjutte</v>
      </c>
      <c r="J329" t="str">
        <f>"Viiding, Linda"</f>
        <v>Viiding, Linda</v>
      </c>
      <c r="K329" t="str">
        <f>"Eesti Raamat, Tallinn"</f>
        <v>Eesti Raamat, Tallinn</v>
      </c>
      <c r="L329" t="str">
        <f>""</f>
        <v/>
      </c>
      <c r="M329" t="str">
        <f>""</f>
        <v/>
      </c>
    </row>
    <row r="330" spans="2:13" ht="15">
      <c r="B330" t="str">
        <f>"3334"</f>
        <v>3334</v>
      </c>
      <c r="C330" t="str">
        <f>""</f>
        <v/>
      </c>
      <c r="D330" t="str">
        <f>""</f>
        <v/>
      </c>
      <c r="E330" t="str">
        <f>"venäjä, ruotsi, viro"</f>
        <v>venäjä, ruotsi, viro</v>
      </c>
      <c r="F330" t="str">
        <f>"luule, lüürika"</f>
        <v>luule, lüürika</v>
      </c>
      <c r="G330" t="str">
        <f>"  täiskasvanud"</f>
        <v xml:space="preserve">  täiskasvanud</v>
      </c>
      <c r="H330" t="str">
        <f>"1980"</f>
        <v>1980</v>
      </c>
      <c r="I330" t="str">
        <f>"Parus : morskaâ tematika v poѐzii na četyreh âzykah = Puri : mereluulet neljas keeles = Purje : merirunoutta neljällä kielellä"</f>
        <v>Parus : morskaâ tematika v poѐzii na četyreh âzykah = Puri : mereluulet neljas keeles = Purje : merirunoutta neljällä kielellä</v>
      </c>
      <c r="J330" t="str">
        <f>""</f>
        <v/>
      </c>
      <c r="K330" t="str">
        <f>"Otava, Helsinki"</f>
        <v>Otava, Helsinki</v>
      </c>
      <c r="L330" t="str">
        <f>""</f>
        <v/>
      </c>
      <c r="M330" t="str">
        <f>""</f>
        <v/>
      </c>
    </row>
    <row r="331" spans="1:13" ht="15">
      <c r="A331" t="s">
        <v>433</v>
      </c>
      <c r="B331" t="str">
        <f>"2889"</f>
        <v>2889</v>
      </c>
      <c r="C331" t="str">
        <f>"1975"</f>
        <v>1975</v>
      </c>
      <c r="D331" t="str">
        <f>"Naisten vuonna : novelleja"</f>
        <v>Naisten vuonna : novelleja</v>
      </c>
      <c r="E331" t="str">
        <f aca="true" t="shared" si="31" ref="E331:E365">"viro"</f>
        <v>viro</v>
      </c>
      <c r="F331" t="str">
        <f>"lühiproosa, proosa"</f>
        <v>lühiproosa, proosa</v>
      </c>
      <c r="G331" t="str">
        <f>"  täiskasvanud"</f>
        <v xml:space="preserve">  täiskasvanud</v>
      </c>
      <c r="H331" t="str">
        <f>"1980"</f>
        <v>1980</v>
      </c>
      <c r="I331" t="str">
        <f>"Uudishimulikud"</f>
        <v>Uudishimulikud</v>
      </c>
      <c r="J331" t="str">
        <f>"Veisserik, Malle"</f>
        <v>Veisserik, Malle</v>
      </c>
      <c r="K331" t="str">
        <f>"Perioodika, Tallinn"</f>
        <v>Perioodika, Tallinn</v>
      </c>
      <c r="L331" t="str">
        <f>""</f>
        <v/>
      </c>
      <c r="M331" t="str">
        <f>""</f>
        <v/>
      </c>
    </row>
    <row r="332" spans="1:13" ht="15">
      <c r="A332" t="s">
        <v>531</v>
      </c>
      <c r="B332" t="str">
        <f>"2904"</f>
        <v>2904</v>
      </c>
      <c r="C332" t="str">
        <f>""</f>
        <v/>
      </c>
      <c r="D332" t="str">
        <f>"Marraskuun loppu ; Vuosi elämästä"</f>
        <v>Marraskuun loppu ; Vuosi elämästä</v>
      </c>
      <c r="E332" t="str">
        <f t="shared" si="31"/>
        <v>viro</v>
      </c>
      <c r="F332" t="str">
        <f>"lühiproosa; romaanid; proosa"</f>
        <v>lühiproosa; romaanid; proosa</v>
      </c>
      <c r="G332" t="str">
        <f>"  täiskasvanud"</f>
        <v xml:space="preserve">  täiskasvanud</v>
      </c>
      <c r="H332" t="str">
        <f>"1980"</f>
        <v>1980</v>
      </c>
      <c r="I332" t="str">
        <f>"Novembri lõpp ; Aasta elust"</f>
        <v>Novembri lõpp ; Aasta elust</v>
      </c>
      <c r="J332" t="str">
        <f>"Haljamaa, Ants"</f>
        <v>Haljamaa, Ants</v>
      </c>
      <c r="K332" t="str">
        <f>"Eesti Raamat, Tallinn"</f>
        <v>Eesti Raamat, Tallinn</v>
      </c>
      <c r="L332" t="str">
        <f>""</f>
        <v/>
      </c>
      <c r="M332" t="str">
        <f>""</f>
        <v/>
      </c>
    </row>
    <row r="333" spans="1:13" ht="15">
      <c r="A333" t="s">
        <v>571</v>
      </c>
      <c r="B333" t="str">
        <f>"3259"</f>
        <v>3259</v>
      </c>
      <c r="C333" t="str">
        <f>"1978"</f>
        <v>1978</v>
      </c>
      <c r="D333" t="str">
        <f>"Kadonneen aapiskirjan arvoitus : nukkenäytelmä"</f>
        <v>Kadonneen aapiskirjan arvoitus : nukkenäytelmä</v>
      </c>
      <c r="E333" t="str">
        <f t="shared" si="31"/>
        <v>viro</v>
      </c>
      <c r="F333" t="str">
        <f>"näidendid; draama"</f>
        <v>näidendid; draama</v>
      </c>
      <c r="G333" t="str">
        <f>" lapsed ja noored"</f>
        <v xml:space="preserve"> lapsed ja noored</v>
      </c>
      <c r="H333" t="str">
        <f>"1980"</f>
        <v>1980</v>
      </c>
      <c r="I333" t="str">
        <f>"Kadunud aabitsa mõistatus"</f>
        <v>Kadunud aabitsa mõistatus</v>
      </c>
      <c r="J333" t="str">
        <f>"Kampus, Evald"</f>
        <v>Kampus, Evald</v>
      </c>
      <c r="K333" t="str">
        <f>"Eesti Näitemänguagentuur / Estonian Drama Agency, Tallinn"</f>
        <v>Eesti Näitemänguagentuur / Estonian Drama Agency, Tallinn</v>
      </c>
      <c r="L333" t="str">
        <f>""</f>
        <v/>
      </c>
      <c r="M333" t="str">
        <f>""</f>
        <v/>
      </c>
    </row>
    <row r="334" spans="1:13" ht="15">
      <c r="A334" t="s">
        <v>19</v>
      </c>
      <c r="B334" t="str">
        <f>"2839"</f>
        <v>2839</v>
      </c>
      <c r="C334" t="str">
        <f>"1967"</f>
        <v>1967</v>
      </c>
      <c r="D334" t="str">
        <f>"Runot 1951-1966"</f>
        <v>Runot 1951-1966</v>
      </c>
      <c r="E334" t="str">
        <f t="shared" si="31"/>
        <v>viro</v>
      </c>
      <c r="F334" t="str">
        <f>"luule, lüürika"</f>
        <v>luule, lüürika</v>
      </c>
      <c r="G334" t="str">
        <f>"  täiskasvanud"</f>
        <v xml:space="preserve">  täiskasvanud</v>
      </c>
      <c r="H334" t="str">
        <f aca="true" t="shared" si="32" ref="H334:H339">"1981"</f>
        <v>1981</v>
      </c>
      <c r="I334" t="str">
        <f>"Aastad"</f>
        <v>Aastad</v>
      </c>
      <c r="J334" t="str">
        <f>"Rummo, Paul-Eerik"</f>
        <v>Rummo, Paul-Eerik</v>
      </c>
      <c r="K334" t="str">
        <f>"Eesti Raamat, Tallinn"</f>
        <v>Eesti Raamat, Tallinn</v>
      </c>
      <c r="L334" t="str">
        <f>""</f>
        <v/>
      </c>
      <c r="M334" t="str">
        <f>""</f>
        <v/>
      </c>
    </row>
    <row r="335" spans="1:13" ht="15">
      <c r="A335" t="s">
        <v>59</v>
      </c>
      <c r="B335" t="str">
        <f>"3772"</f>
        <v>3772</v>
      </c>
      <c r="C335" t="str">
        <f>"1966"</f>
        <v>1966</v>
      </c>
      <c r="D335" t="str">
        <f>"Kalevalan tarinat"</f>
        <v>Kalevalan tarinat</v>
      </c>
      <c r="E335" t="str">
        <f t="shared" si="31"/>
        <v>viro</v>
      </c>
      <c r="F335" t="str">
        <f>"folkloor; proosa"</f>
        <v>folkloor; proosa</v>
      </c>
      <c r="G335" t="str">
        <f>" lapsed ja noored"</f>
        <v xml:space="preserve"> lapsed ja noored</v>
      </c>
      <c r="H335" t="str">
        <f t="shared" si="32"/>
        <v>1981</v>
      </c>
      <c r="I335" t="str">
        <f>"Kalevala lood"</f>
        <v>Kalevala lood</v>
      </c>
      <c r="J335" t="str">
        <f>"Põldmäe, Asta"</f>
        <v>Põldmäe, Asta</v>
      </c>
      <c r="K335" t="str">
        <f>"Eesti Raamat, Tallinn"</f>
        <v>Eesti Raamat, Tallinn</v>
      </c>
      <c r="L335" t="str">
        <f>""</f>
        <v/>
      </c>
      <c r="M335" t="str">
        <f>""</f>
        <v/>
      </c>
    </row>
    <row r="336" spans="1:13" ht="15">
      <c r="A336" t="s">
        <v>119</v>
      </c>
      <c r="B336" t="str">
        <f>"2856"</f>
        <v>2856</v>
      </c>
      <c r="C336" t="str">
        <f>"1974"</f>
        <v>1974</v>
      </c>
      <c r="D336" t="str">
        <f>"Vetää kaikista ovista"</f>
        <v>Vetää kaikista ovista</v>
      </c>
      <c r="E336" t="str">
        <f t="shared" si="31"/>
        <v>viro</v>
      </c>
      <c r="F336" t="str">
        <f>"romaanid; proosa"</f>
        <v>romaanid; proosa</v>
      </c>
      <c r="G336" t="str">
        <f>"  täiskasvanud"</f>
        <v xml:space="preserve">  täiskasvanud</v>
      </c>
      <c r="H336" t="str">
        <f t="shared" si="32"/>
        <v>1981</v>
      </c>
      <c r="I336" t="str">
        <f>"Tõmbab ustest ja akendest"</f>
        <v>Tõmbab ustest ja akendest</v>
      </c>
      <c r="J336" t="str">
        <f>"Männamaa, Hella-Mare"</f>
        <v>Männamaa, Hella-Mare</v>
      </c>
      <c r="K336" t="str">
        <f>"Eesti Raamat, Tallinn"</f>
        <v>Eesti Raamat, Tallinn</v>
      </c>
      <c r="L336" t="str">
        <f>""</f>
        <v/>
      </c>
      <c r="M336" t="str">
        <f>""</f>
        <v/>
      </c>
    </row>
    <row r="337" spans="1:13" ht="15">
      <c r="A337" t="s">
        <v>337</v>
      </c>
      <c r="B337" t="str">
        <f>"2877"</f>
        <v>2877</v>
      </c>
      <c r="C337" t="str">
        <f>"1975"</f>
        <v>1975</v>
      </c>
      <c r="D337" t="str">
        <f>"Satuja : taruja ja tosioita elämästä"</f>
        <v>Satuja : taruja ja tosioita elämästä</v>
      </c>
      <c r="E337" t="str">
        <f t="shared" si="31"/>
        <v>viro</v>
      </c>
      <c r="F337" t="str">
        <f>"muinasjutud; proosa"</f>
        <v>muinasjutud; proosa</v>
      </c>
      <c r="G337" t="str">
        <f>" lapsed ja noored"</f>
        <v xml:space="preserve"> lapsed ja noored</v>
      </c>
      <c r="H337" t="str">
        <f t="shared" si="32"/>
        <v>1981</v>
      </c>
      <c r="I337" t="str">
        <f>"Muinasjutte"</f>
        <v>Muinasjutte</v>
      </c>
      <c r="J337" t="str">
        <f>"Viiding, Linda"</f>
        <v>Viiding, Linda</v>
      </c>
      <c r="K337" t="str">
        <f>"Eesti Raamat, Tallinn"</f>
        <v>Eesti Raamat, Tallinn</v>
      </c>
      <c r="L337" t="str">
        <f>""</f>
        <v/>
      </c>
      <c r="M337" t="str">
        <f>""</f>
        <v/>
      </c>
    </row>
    <row r="338" spans="1:13" ht="15">
      <c r="A338" t="s">
        <v>374</v>
      </c>
      <c r="B338" t="str">
        <f>"2884"</f>
        <v>2884</v>
      </c>
      <c r="C338" t="str">
        <f>"1976"</f>
        <v>1976</v>
      </c>
      <c r="D338" t="str">
        <f>"The end : novelleja"</f>
        <v>The end : novelleja</v>
      </c>
      <c r="E338" t="str">
        <f t="shared" si="31"/>
        <v>viro</v>
      </c>
      <c r="F338" t="str">
        <f>"lühiproosa, proosa"</f>
        <v>lühiproosa, proosa</v>
      </c>
      <c r="G338" t="str">
        <f>"  täiskasvanud"</f>
        <v xml:space="preserve">  täiskasvanud</v>
      </c>
      <c r="H338" t="str">
        <f t="shared" si="32"/>
        <v>1981</v>
      </c>
      <c r="I338" t="str">
        <f>"Märtsiudu"</f>
        <v>Märtsiudu</v>
      </c>
      <c r="J338" t="str">
        <f>"Nemvalts, Peep"</f>
        <v>Nemvalts, Peep</v>
      </c>
      <c r="K338" t="str">
        <f>"Perioodika, Tallinn"</f>
        <v>Perioodika, Tallinn</v>
      </c>
      <c r="L338" t="str">
        <f>""</f>
        <v/>
      </c>
      <c r="M338" t="str">
        <f>""</f>
        <v/>
      </c>
    </row>
    <row r="339" spans="1:13" ht="15">
      <c r="A339" t="s">
        <v>512</v>
      </c>
      <c r="B339" t="str">
        <f>"2897"</f>
        <v>2897</v>
      </c>
      <c r="C339" t="str">
        <f>"1975"</f>
        <v>1975</v>
      </c>
      <c r="D339" t="str">
        <f>"Tunturisusi"</f>
        <v>Tunturisusi</v>
      </c>
      <c r="E339" t="str">
        <f t="shared" si="31"/>
        <v>viro</v>
      </c>
      <c r="F339" t="str">
        <f>"romaanid; proosa"</f>
        <v>romaanid; proosa</v>
      </c>
      <c r="G339" t="str">
        <f>"  täiskasvanud"</f>
        <v xml:space="preserve">  täiskasvanud</v>
      </c>
      <c r="H339" t="str">
        <f t="shared" si="32"/>
        <v>1981</v>
      </c>
      <c r="I339" t="str">
        <f>"Tundruhunt"</f>
        <v>Tundruhunt</v>
      </c>
      <c r="J339" t="str">
        <f>"Sirp, Luule"</f>
        <v>Sirp, Luule</v>
      </c>
      <c r="K339" t="str">
        <f>"Eesti Raamat, Tallinn"</f>
        <v>Eesti Raamat, Tallinn</v>
      </c>
      <c r="L339" t="str">
        <f>""</f>
        <v/>
      </c>
      <c r="M339" t="str">
        <f>""</f>
        <v/>
      </c>
    </row>
    <row r="340" spans="1:13" ht="15">
      <c r="A340" t="s">
        <v>119</v>
      </c>
      <c r="B340" t="str">
        <f>"2854"</f>
        <v>2854</v>
      </c>
      <c r="C340" t="str">
        <f>"1976"</f>
        <v>1976</v>
      </c>
      <c r="D340" t="str">
        <f>"Kuin kekäle kädessä"</f>
        <v>Kuin kekäle kädessä</v>
      </c>
      <c r="E340" t="str">
        <f t="shared" si="31"/>
        <v>viro</v>
      </c>
      <c r="F340" t="str">
        <f>"romaanid; proosa"</f>
        <v>romaanid; proosa</v>
      </c>
      <c r="G340" t="str">
        <f>"  täiskasvanud"</f>
        <v xml:space="preserve">  täiskasvanud</v>
      </c>
      <c r="H340" t="str">
        <f>"1982"</f>
        <v>1982</v>
      </c>
      <c r="I340" t="str">
        <f>"Otsekui tulest tõmmatud tukk"</f>
        <v>Otsekui tulest tõmmatud tukk</v>
      </c>
      <c r="J340" t="str">
        <f>"Männamaa, Hella-Mare"</f>
        <v>Männamaa, Hella-Mare</v>
      </c>
      <c r="K340" t="str">
        <f>"Eesti Raamat, Tallinn"</f>
        <v>Eesti Raamat, Tallinn</v>
      </c>
      <c r="L340" t="str">
        <f>""</f>
        <v/>
      </c>
      <c r="M340" t="str">
        <f>""</f>
        <v/>
      </c>
    </row>
    <row r="341" spans="1:13" ht="15">
      <c r="A341" t="s">
        <v>147</v>
      </c>
      <c r="B341" t="str">
        <f>"2859"</f>
        <v>2859</v>
      </c>
      <c r="C341" t="str">
        <f>"1928"</f>
        <v>1928</v>
      </c>
      <c r="D341" t="str">
        <f>"Sudenmorsian"</f>
        <v>Sudenmorsian</v>
      </c>
      <c r="E341" t="str">
        <f t="shared" si="31"/>
        <v>viro</v>
      </c>
      <c r="F341" t="str">
        <f>"romaanid; proosa"</f>
        <v>romaanid; proosa</v>
      </c>
      <c r="G341" t="str">
        <f>"  täiskasvanud"</f>
        <v xml:space="preserve">  täiskasvanud</v>
      </c>
      <c r="H341" t="str">
        <f>"1982"</f>
        <v>1982</v>
      </c>
      <c r="I341" t="str">
        <f>"Hundimõrsja"</f>
        <v>Hundimõrsja</v>
      </c>
      <c r="J341" t="str">
        <f>""</f>
        <v/>
      </c>
      <c r="K341" t="str">
        <f>"Eesti Raamat, Tallinn"</f>
        <v>Eesti Raamat, Tallinn</v>
      </c>
      <c r="L341" t="str">
        <f>""</f>
        <v/>
      </c>
      <c r="M341" t="str">
        <f>""</f>
        <v/>
      </c>
    </row>
    <row r="342" spans="1:13" ht="15">
      <c r="A342" t="s">
        <v>318</v>
      </c>
      <c r="B342" t="str">
        <f>"2872"</f>
        <v>2872</v>
      </c>
      <c r="C342" t="str">
        <f>"1966"</f>
        <v>1966</v>
      </c>
      <c r="D342" t="str">
        <f>"Laulu Sipirjan lapsista"</f>
        <v>Laulu Sipirjan lapsista</v>
      </c>
      <c r="E342" t="str">
        <f t="shared" si="31"/>
        <v>viro</v>
      </c>
      <c r="F342" t="str">
        <f>"romaanid; proosa"</f>
        <v>romaanid; proosa</v>
      </c>
      <c r="G342" t="str">
        <f>"  täiskasvanud"</f>
        <v xml:space="preserve">  täiskasvanud</v>
      </c>
      <c r="H342" t="str">
        <f>"1982"</f>
        <v>1982</v>
      </c>
      <c r="I342" t="str">
        <f>"Laul Sipirja lastest"</f>
        <v>Laul Sipirja lastest</v>
      </c>
      <c r="J342" t="str">
        <f>"Paikre, Ants"</f>
        <v>Paikre, Ants</v>
      </c>
      <c r="K342" t="str">
        <f>"Perioodika, Tallinn"</f>
        <v>Perioodika, Tallinn</v>
      </c>
      <c r="L342" t="str">
        <f>""</f>
        <v/>
      </c>
      <c r="M342" t="str">
        <f>""</f>
        <v/>
      </c>
    </row>
    <row r="343" spans="2:13" ht="15">
      <c r="B343" t="str">
        <f>"3330"</f>
        <v>3330</v>
      </c>
      <c r="C343" t="str">
        <f>""</f>
        <v/>
      </c>
      <c r="D343" t="str">
        <f>""</f>
        <v/>
      </c>
      <c r="E343" t="str">
        <f t="shared" si="31"/>
        <v>viro</v>
      </c>
      <c r="F343" t="str">
        <f>"luule, lüürika"</f>
        <v>luule, lüürika</v>
      </c>
      <c r="G343" t="str">
        <f>"  täiskasvanud"</f>
        <v xml:space="preserve">  täiskasvanud</v>
      </c>
      <c r="H343" t="str">
        <f aca="true" t="shared" si="33" ref="H343:H353">"1983"</f>
        <v>1983</v>
      </c>
      <c r="I343" t="str">
        <f>"Kui palju on maailmas värve"</f>
        <v>Kui palju on maailmas värve</v>
      </c>
      <c r="J343" t="str">
        <f>"Paikre, Ants"</f>
        <v>Paikre, Ants</v>
      </c>
      <c r="K343" t="str">
        <f>"Perioodika, Tallinn"</f>
        <v>Perioodika, Tallinn</v>
      </c>
      <c r="L343" t="str">
        <f>""</f>
        <v/>
      </c>
      <c r="M343" t="str">
        <f>""</f>
        <v/>
      </c>
    </row>
    <row r="344" spans="1:13" ht="15">
      <c r="A344" t="s">
        <v>31</v>
      </c>
      <c r="B344" t="str">
        <f>"4538"</f>
        <v>4538</v>
      </c>
      <c r="C344" t="str">
        <f>"1980"</f>
        <v>1980</v>
      </c>
      <c r="D344" t="str">
        <f>"Den privata detektiven : roman"</f>
        <v>Den privata detektiven : roman</v>
      </c>
      <c r="E344" t="str">
        <f t="shared" si="31"/>
        <v>viro</v>
      </c>
      <c r="F344" t="str">
        <f>"romaanid; proosa"</f>
        <v>romaanid; proosa</v>
      </c>
      <c r="G344" t="str">
        <f>"  täiskasvanud"</f>
        <v xml:space="preserve">  täiskasvanud</v>
      </c>
      <c r="H344" t="str">
        <f t="shared" si="33"/>
        <v>1983</v>
      </c>
      <c r="I344" t="str">
        <f>"Eradetektiiv"</f>
        <v>Eradetektiiv</v>
      </c>
      <c r="J344" t="str">
        <f>"Ravel, Arnold"</f>
        <v>Ravel, Arnold</v>
      </c>
      <c r="K344" t="str">
        <f>"Perioodika, Tallinn"</f>
        <v>Perioodika, Tallinn</v>
      </c>
      <c r="L344" t="str">
        <f>""</f>
        <v/>
      </c>
      <c r="M344" t="str">
        <f>""</f>
        <v/>
      </c>
    </row>
    <row r="345" spans="1:13" ht="15">
      <c r="A345" t="s">
        <v>71</v>
      </c>
      <c r="B345" t="str">
        <f>"2844"</f>
        <v>2844</v>
      </c>
      <c r="C345" t="str">
        <f>"1978"</f>
        <v>1978</v>
      </c>
      <c r="D345" t="str">
        <f>"Ainakin miljoona sinistä kissaa"</f>
        <v>Ainakin miljoona sinistä kissaa</v>
      </c>
      <c r="E345" t="str">
        <f t="shared" si="31"/>
        <v>viro</v>
      </c>
      <c r="F345" t="str">
        <f>"romaanid; muinasjutud; proosa"</f>
        <v>romaanid; muinasjutud; proosa</v>
      </c>
      <c r="G345" t="str">
        <f>" lapsed ja noored"</f>
        <v xml:space="preserve"> lapsed ja noored</v>
      </c>
      <c r="H345" t="str">
        <f t="shared" si="33"/>
        <v>1983</v>
      </c>
      <c r="I345" t="str">
        <f>"Vähemalt miljon sinist kassi"</f>
        <v>Vähemalt miljon sinist kassi</v>
      </c>
      <c r="J345" t="str">
        <f>"Ruutsoo, Sirje"</f>
        <v>Ruutsoo, Sirje</v>
      </c>
      <c r="K345" t="str">
        <f>"Eesti Raamat, Tallinn"</f>
        <v>Eesti Raamat, Tallinn</v>
      </c>
      <c r="L345" t="str">
        <f>""</f>
        <v/>
      </c>
      <c r="M345" t="str">
        <f>""</f>
        <v/>
      </c>
    </row>
    <row r="346" spans="1:13" ht="15">
      <c r="A346" t="s">
        <v>82</v>
      </c>
      <c r="B346" t="str">
        <f>"2845"</f>
        <v>2845</v>
      </c>
      <c r="C346" t="str">
        <f>"1972"</f>
        <v>1972</v>
      </c>
      <c r="D346" t="str">
        <f>"Kaitsu ja mopo"</f>
        <v>Kaitsu ja mopo</v>
      </c>
      <c r="E346" t="str">
        <f t="shared" si="31"/>
        <v>viro</v>
      </c>
      <c r="F346" t="str">
        <f>"romaanid; proosa"</f>
        <v>romaanid; proosa</v>
      </c>
      <c r="G346" t="str">
        <f>" lapsed ja noored"</f>
        <v xml:space="preserve"> lapsed ja noored</v>
      </c>
      <c r="H346" t="str">
        <f t="shared" si="33"/>
        <v>1983</v>
      </c>
      <c r="I346" t="str">
        <f>"Kaitsu ja mopeed"</f>
        <v>Kaitsu ja mopeed</v>
      </c>
      <c r="J346" t="str">
        <f>"Tani, Agu"</f>
        <v>Tani, Agu</v>
      </c>
      <c r="K346" t="str">
        <f>"Eesti Raamat, Tallinn"</f>
        <v>Eesti Raamat, Tallinn</v>
      </c>
      <c r="L346" t="str">
        <f>""</f>
        <v/>
      </c>
      <c r="M346" t="str">
        <f>""</f>
        <v/>
      </c>
    </row>
    <row r="347" spans="1:13" ht="15">
      <c r="A347" t="s">
        <v>87</v>
      </c>
      <c r="B347" t="str">
        <f>"2846"</f>
        <v>2846</v>
      </c>
      <c r="C347" t="str">
        <f>""</f>
        <v/>
      </c>
      <c r="D347" t="str">
        <f>""</f>
        <v/>
      </c>
      <c r="E347" t="str">
        <f t="shared" si="31"/>
        <v>viro</v>
      </c>
      <c r="F347" t="str">
        <f>"luule, lüürika"</f>
        <v>luule, lüürika</v>
      </c>
      <c r="G347" t="str">
        <f>"  täiskasvanud"</f>
        <v xml:space="preserve">  täiskasvanud</v>
      </c>
      <c r="H347" t="str">
        <f t="shared" si="33"/>
        <v>1983</v>
      </c>
      <c r="I347" t="str">
        <f>"Kivi keset lahte"</f>
        <v>Kivi keset lahte</v>
      </c>
      <c r="J347" t="str">
        <f>"Beekman, Vladimir"</f>
        <v>Beekman, Vladimir</v>
      </c>
      <c r="K347" t="str">
        <f>"Eesti Raamat, Tallinn"</f>
        <v>Eesti Raamat, Tallinn</v>
      </c>
      <c r="L347" t="str">
        <f>""</f>
        <v/>
      </c>
      <c r="M347" t="str">
        <f>""</f>
        <v/>
      </c>
    </row>
    <row r="348" spans="1:13" ht="15">
      <c r="A348" t="s">
        <v>170</v>
      </c>
      <c r="B348" t="str">
        <f>"3974"</f>
        <v>3974</v>
      </c>
      <c r="C348" t="str">
        <f>"1977"</f>
        <v>1977</v>
      </c>
      <c r="D348" t="str">
        <f>"Mustaa aukkoa etsimässä"</f>
        <v>Mustaa aukkoa etsimässä</v>
      </c>
      <c r="E348" t="str">
        <f t="shared" si="31"/>
        <v>viro</v>
      </c>
      <c r="F348" t="str">
        <f>""</f>
        <v/>
      </c>
      <c r="G348" t="str">
        <f>"  täiskasvanud"</f>
        <v xml:space="preserve">  täiskasvanud</v>
      </c>
      <c r="H348" t="str">
        <f t="shared" si="33"/>
        <v>1983</v>
      </c>
      <c r="I348" t="str">
        <f>"Musta auku otsimas"</f>
        <v>Musta auku otsimas</v>
      </c>
      <c r="J348" t="str">
        <f>"Piir, I., Sapar, A."</f>
        <v>Piir, I., Sapar, A.</v>
      </c>
      <c r="K348" t="str">
        <f>"Valgus, Tallinn"</f>
        <v>Valgus, Tallinn</v>
      </c>
      <c r="L348" t="str">
        <f>""</f>
        <v/>
      </c>
      <c r="M348" t="str">
        <f>""</f>
        <v/>
      </c>
    </row>
    <row r="349" spans="1:13" ht="15">
      <c r="A349" t="s">
        <v>185</v>
      </c>
      <c r="B349" t="str">
        <f>"2865"</f>
        <v>2865</v>
      </c>
      <c r="C349" t="str">
        <f>"1870"</f>
        <v>1870</v>
      </c>
      <c r="D349" t="str">
        <f>"Seitsemän veljestä"</f>
        <v>Seitsemän veljestä</v>
      </c>
      <c r="E349" t="str">
        <f t="shared" si="31"/>
        <v>viro</v>
      </c>
      <c r="F349" t="str">
        <f>"romaanid; proosa"</f>
        <v>romaanid; proosa</v>
      </c>
      <c r="G349" t="str">
        <f>"  täiskasvanud"</f>
        <v xml:space="preserve">  täiskasvanud</v>
      </c>
      <c r="H349" t="str">
        <f t="shared" si="33"/>
        <v>1983</v>
      </c>
      <c r="I349" t="str">
        <f>"Seitse venda"</f>
        <v>Seitse venda</v>
      </c>
      <c r="J349" t="str">
        <f>"Tuglas, Friedebert"</f>
        <v>Tuglas, Friedebert</v>
      </c>
      <c r="K349" t="str">
        <f>"Eesti Raamat, Tallinn"</f>
        <v>Eesti Raamat, Tallinn</v>
      </c>
      <c r="L349" t="str">
        <f>""</f>
        <v/>
      </c>
      <c r="M349" t="str">
        <f>""</f>
        <v/>
      </c>
    </row>
    <row r="350" spans="1:13" ht="15">
      <c r="A350" t="s">
        <v>321</v>
      </c>
      <c r="B350" t="str">
        <f>"2873"</f>
        <v>2873</v>
      </c>
      <c r="C350" t="str">
        <f>"1977"</f>
        <v>1977</v>
      </c>
      <c r="D350" t="str">
        <f>"Hevonen, joka hukkasi silmälasinsa"</f>
        <v>Hevonen, joka hukkasi silmälasinsa</v>
      </c>
      <c r="E350" t="str">
        <f t="shared" si="31"/>
        <v>viro</v>
      </c>
      <c r="F350" t="str">
        <f>"proosa"</f>
        <v>proosa</v>
      </c>
      <c r="G350" t="str">
        <f>" lapsed ja noored"</f>
        <v xml:space="preserve"> lapsed ja noored</v>
      </c>
      <c r="H350" t="str">
        <f t="shared" si="33"/>
        <v>1983</v>
      </c>
      <c r="I350" t="str">
        <f>"Hobune, kes kaotas prillid ära"</f>
        <v>Hobune, kes kaotas prillid ära</v>
      </c>
      <c r="J350" t="str">
        <f>"Saluri, Piret"</f>
        <v>Saluri, Piret</v>
      </c>
      <c r="K350" t="str">
        <f>"Eesti Raamat, Tallinn"</f>
        <v>Eesti Raamat, Tallinn</v>
      </c>
      <c r="L350" t="str">
        <f>""</f>
        <v/>
      </c>
      <c r="M350" t="str">
        <f>""</f>
        <v/>
      </c>
    </row>
    <row r="351" spans="1:13" ht="15">
      <c r="A351" t="s">
        <v>343</v>
      </c>
      <c r="B351" t="str">
        <f>"3974"</f>
        <v>3974</v>
      </c>
      <c r="C351" t="str">
        <f>"1977"</f>
        <v>1977</v>
      </c>
      <c r="D351" t="str">
        <f>"Mustaa aukkoa etsimässä"</f>
        <v>Mustaa aukkoa etsimässä</v>
      </c>
      <c r="E351" t="str">
        <f t="shared" si="31"/>
        <v>viro</v>
      </c>
      <c r="F351" t="str">
        <f>""</f>
        <v/>
      </c>
      <c r="G351" t="str">
        <f>"  täiskasvanud"</f>
        <v xml:space="preserve">  täiskasvanud</v>
      </c>
      <c r="H351" t="str">
        <f t="shared" si="33"/>
        <v>1983</v>
      </c>
      <c r="I351" t="str">
        <f>"Musta auku otsimas"</f>
        <v>Musta auku otsimas</v>
      </c>
      <c r="J351" t="str">
        <f>"Piir, I., Sapar, A."</f>
        <v>Piir, I., Sapar, A.</v>
      </c>
      <c r="K351" t="str">
        <f>"Valgus, Tallinn"</f>
        <v>Valgus, Tallinn</v>
      </c>
      <c r="L351" t="str">
        <f>""</f>
        <v/>
      </c>
      <c r="M351" t="str">
        <f>""</f>
        <v/>
      </c>
    </row>
    <row r="352" spans="1:13" ht="15">
      <c r="A352" t="s">
        <v>435</v>
      </c>
      <c r="B352" t="str">
        <f>"4087"</f>
        <v>4087</v>
      </c>
      <c r="C352" t="str">
        <f>"1979"</f>
        <v>1979</v>
      </c>
      <c r="D352" t="str">
        <f>"Juoksemisen salaisuudet"</f>
        <v>Juoksemisen salaisuudet</v>
      </c>
      <c r="E352" t="str">
        <f t="shared" si="31"/>
        <v>viro</v>
      </c>
      <c r="F352" t="str">
        <f>""</f>
        <v/>
      </c>
      <c r="G352" t="str">
        <f>"  täiskasvanud"</f>
        <v xml:space="preserve">  täiskasvanud</v>
      </c>
      <c r="H352" t="str">
        <f t="shared" si="33"/>
        <v>1983</v>
      </c>
      <c r="I352" t="str">
        <f>"Lasse Viren"</f>
        <v>Lasse Viren</v>
      </c>
      <c r="J352" t="str">
        <f>"Kivine, Paavo"</f>
        <v>Kivine, Paavo</v>
      </c>
      <c r="K352" t="str">
        <f>"Eesti Raamat, Tallinn"</f>
        <v>Eesti Raamat, Tallinn</v>
      </c>
      <c r="L352" t="str">
        <f>""</f>
        <v/>
      </c>
      <c r="M352" t="str">
        <f>""</f>
        <v/>
      </c>
    </row>
    <row r="353" spans="1:13" ht="15">
      <c r="A353" t="s">
        <v>531</v>
      </c>
      <c r="B353" t="str">
        <f>"2903"</f>
        <v>2903</v>
      </c>
      <c r="C353" t="str">
        <f>"1977"</f>
        <v>1977</v>
      </c>
      <c r="D353" t="str">
        <f>"Joki virtaa läpi kaupungin"</f>
        <v>Joki virtaa läpi kaupungin</v>
      </c>
      <c r="E353" t="str">
        <f t="shared" si="31"/>
        <v>viro</v>
      </c>
      <c r="F353" t="str">
        <f>"romaanid; proosa"</f>
        <v>romaanid; proosa</v>
      </c>
      <c r="G353" t="str">
        <f>"  täiskasvanud"</f>
        <v xml:space="preserve">  täiskasvanud</v>
      </c>
      <c r="H353" t="str">
        <f t="shared" si="33"/>
        <v>1983</v>
      </c>
      <c r="I353" t="str">
        <f>"Jõgi voolab läbi linna"</f>
        <v>Jõgi voolab läbi linna</v>
      </c>
      <c r="J353" t="str">
        <f>"Haljamaa, Ants"</f>
        <v>Haljamaa, Ants</v>
      </c>
      <c r="K353" t="str">
        <f>"Eesti Raamat, Tallinn"</f>
        <v>Eesti Raamat, Tallinn</v>
      </c>
      <c r="L353" t="str">
        <f>""</f>
        <v/>
      </c>
      <c r="M353" t="str">
        <f>""</f>
        <v/>
      </c>
    </row>
    <row r="354" spans="1:13" ht="15">
      <c r="A354" t="s">
        <v>59</v>
      </c>
      <c r="B354" t="str">
        <f>"3695"</f>
        <v>3695</v>
      </c>
      <c r="C354" t="str">
        <f>"1939"</f>
        <v>1939</v>
      </c>
      <c r="D354" t="str">
        <f>"Eläinten pidot"</f>
        <v>Eläinten pidot</v>
      </c>
      <c r="E354" t="str">
        <f t="shared" si="31"/>
        <v>viro</v>
      </c>
      <c r="F354" t="str">
        <f>"pildiraamatud"</f>
        <v>pildiraamatud</v>
      </c>
      <c r="G354" t="str">
        <f>" lapsed ja noored"</f>
        <v xml:space="preserve"> lapsed ja noored</v>
      </c>
      <c r="H354" t="str">
        <f aca="true" t="shared" si="34" ref="H354:H364">"1984"</f>
        <v>1984</v>
      </c>
      <c r="I354" t="str">
        <f>"Loomade pidu"</f>
        <v>Loomade pidu</v>
      </c>
      <c r="J354" t="str">
        <f>"Laid, H."</f>
        <v>Laid, H.</v>
      </c>
      <c r="K354" t="str">
        <f>"Eesti Koolide Keskus USA-s, [s.l.]"</f>
        <v>Eesti Koolide Keskus USA-s, [s.l.]</v>
      </c>
      <c r="L354" t="str">
        <f>""</f>
        <v/>
      </c>
      <c r="M354" t="str">
        <f>""</f>
        <v/>
      </c>
    </row>
    <row r="355" spans="1:13" ht="15">
      <c r="A355" t="s">
        <v>59</v>
      </c>
      <c r="B355" t="str">
        <f>"3696"</f>
        <v>3696</v>
      </c>
      <c r="C355" t="str">
        <f>"1939"</f>
        <v>1939</v>
      </c>
      <c r="D355" t="str">
        <f>"Suuri palkinto"</f>
        <v>Suuri palkinto</v>
      </c>
      <c r="E355" t="str">
        <f t="shared" si="31"/>
        <v>viro</v>
      </c>
      <c r="F355" t="str">
        <f>"pildiraamatud"</f>
        <v>pildiraamatud</v>
      </c>
      <c r="G355" t="str">
        <f>" lapsed ja noored"</f>
        <v xml:space="preserve"> lapsed ja noored</v>
      </c>
      <c r="H355" t="str">
        <f t="shared" si="34"/>
        <v>1984</v>
      </c>
      <c r="I355" t="str">
        <f>"Suur auhind"</f>
        <v>Suur auhind</v>
      </c>
      <c r="J355" t="str">
        <f>""</f>
        <v/>
      </c>
      <c r="K355" t="str">
        <f>"Eesti Koolide Keskus USA-s, [s.l.]"</f>
        <v>Eesti Koolide Keskus USA-s, [s.l.]</v>
      </c>
      <c r="L355" t="str">
        <f>""</f>
        <v/>
      </c>
      <c r="M355" t="str">
        <f>""</f>
        <v/>
      </c>
    </row>
    <row r="356" spans="1:13" ht="15">
      <c r="A356" t="s">
        <v>119</v>
      </c>
      <c r="B356" t="str">
        <f>"2855"</f>
        <v>2855</v>
      </c>
      <c r="C356" t="str">
        <f>"1978"</f>
        <v>1978</v>
      </c>
      <c r="D356" t="str">
        <f>"Sataa suolaista vettä"</f>
        <v>Sataa suolaista vettä</v>
      </c>
      <c r="E356" t="str">
        <f t="shared" si="31"/>
        <v>viro</v>
      </c>
      <c r="F356" t="str">
        <f>"romaanid; proosa"</f>
        <v>romaanid; proosa</v>
      </c>
      <c r="G356" t="str">
        <f>"  täiskasvanud"</f>
        <v xml:space="preserve">  täiskasvanud</v>
      </c>
      <c r="H356" t="str">
        <f t="shared" si="34"/>
        <v>1984</v>
      </c>
      <c r="I356" t="str">
        <f>"Sajab soolast vihma"</f>
        <v>Sajab soolast vihma</v>
      </c>
      <c r="J356" t="str">
        <f>"Männamaa, Hella-Mare"</f>
        <v>Männamaa, Hella-Mare</v>
      </c>
      <c r="K356" t="str">
        <f>"Eesti Raamat, Tallinn"</f>
        <v>Eesti Raamat, Tallinn</v>
      </c>
      <c r="L356" t="str">
        <f>""</f>
        <v/>
      </c>
      <c r="M356" t="str">
        <f>""</f>
        <v/>
      </c>
    </row>
    <row r="357" spans="1:13" ht="15">
      <c r="A357" t="s">
        <v>147</v>
      </c>
      <c r="B357" t="str">
        <f>"2861"</f>
        <v>2861</v>
      </c>
      <c r="C357" t="str">
        <f>""</f>
        <v/>
      </c>
      <c r="D357" t="str">
        <f>""</f>
        <v/>
      </c>
      <c r="E357" t="str">
        <f t="shared" si="31"/>
        <v>viro</v>
      </c>
      <c r="F357" t="str">
        <f>"proosa"</f>
        <v>proosa</v>
      </c>
      <c r="G357" t="str">
        <f>"  täiskasvanud"</f>
        <v xml:space="preserve">  täiskasvanud</v>
      </c>
      <c r="H357" t="str">
        <f t="shared" si="34"/>
        <v>1984</v>
      </c>
      <c r="I357" t="str">
        <f>"Valitud proosat"</f>
        <v>Valitud proosat</v>
      </c>
      <c r="J357" t="str">
        <f>"Laanpere, Helga, Tuglas, Friedebert"</f>
        <v>Laanpere, Helga, Tuglas, Friedebert</v>
      </c>
      <c r="K357" t="str">
        <f>"Eesti Raamat, Tallinn"</f>
        <v>Eesti Raamat, Tallinn</v>
      </c>
      <c r="L357" t="str">
        <f>""</f>
        <v/>
      </c>
      <c r="M357" t="str">
        <f>""</f>
        <v/>
      </c>
    </row>
    <row r="358" spans="1:13" ht="15">
      <c r="A358" t="s">
        <v>312</v>
      </c>
      <c r="B358" t="str">
        <f>"14971"</f>
        <v>14971</v>
      </c>
      <c r="C358" t="str">
        <f>"1976"</f>
        <v>1976</v>
      </c>
      <c r="D358" t="str">
        <f>"Jasonin kesä"</f>
        <v>Jasonin kesä</v>
      </c>
      <c r="E358" t="str">
        <f t="shared" si="31"/>
        <v>viro</v>
      </c>
      <c r="F358" t="str">
        <f>"pildiraamatud"</f>
        <v>pildiraamatud</v>
      </c>
      <c r="G358" t="str">
        <f>" lapsed ja noored"</f>
        <v xml:space="preserve"> lapsed ja noored</v>
      </c>
      <c r="H358" t="str">
        <f t="shared" si="34"/>
        <v>1984</v>
      </c>
      <c r="I358" t="str">
        <f>"Jasoni suvi"</f>
        <v>Jasoni suvi</v>
      </c>
      <c r="J358" t="str">
        <f>"Karu, Anne"</f>
        <v>Karu, Anne</v>
      </c>
      <c r="K358" t="str">
        <f>"Eesti Raamat, Tallinn"</f>
        <v>Eesti Raamat, Tallinn</v>
      </c>
      <c r="L358" t="str">
        <f>""</f>
        <v/>
      </c>
      <c r="M358" t="str">
        <f>""</f>
        <v/>
      </c>
    </row>
    <row r="359" spans="1:13" ht="15">
      <c r="A359" t="s">
        <v>332</v>
      </c>
      <c r="B359" t="str">
        <f>"2876"</f>
        <v>2876</v>
      </c>
      <c r="C359" t="str">
        <f>"1977"</f>
        <v>1977</v>
      </c>
      <c r="D359" t="str">
        <f>"Det har aldrig hänt : roman"</f>
        <v>Det har aldrig hänt : roman</v>
      </c>
      <c r="E359" t="str">
        <f t="shared" si="31"/>
        <v>viro</v>
      </c>
      <c r="F359" t="str">
        <f>"romaanid; proosa"</f>
        <v>romaanid; proosa</v>
      </c>
      <c r="G359" t="str">
        <f>"  täiskasvanud"</f>
        <v xml:space="preserve">  täiskasvanud</v>
      </c>
      <c r="H359" t="str">
        <f t="shared" si="34"/>
        <v>1984</v>
      </c>
      <c r="I359" t="str">
        <f>"Seda pole üldse olnud"</f>
        <v>Seda pole üldse olnud</v>
      </c>
      <c r="J359" t="str">
        <f>"Beekman, Vladimir"</f>
        <v>Beekman, Vladimir</v>
      </c>
      <c r="K359" t="str">
        <f>"Eesti Raamat, Tallinn"</f>
        <v>Eesti Raamat, Tallinn</v>
      </c>
      <c r="L359" t="str">
        <f>""</f>
        <v/>
      </c>
      <c r="M359" t="str">
        <f>""</f>
        <v/>
      </c>
    </row>
    <row r="360" spans="1:13" ht="15">
      <c r="A360" t="s">
        <v>386</v>
      </c>
      <c r="B360" t="str">
        <f>"2886"</f>
        <v>2886</v>
      </c>
      <c r="C360" t="str">
        <f>""</f>
        <v/>
      </c>
      <c r="D360" t="str">
        <f>"Pasi ja Lennu ; Tavallisia ihmisiä"</f>
        <v>Pasi ja Lennu ; Tavallisia ihmisiä</v>
      </c>
      <c r="E360" t="str">
        <f t="shared" si="31"/>
        <v>viro</v>
      </c>
      <c r="F360" t="str">
        <f>"lühiproosa, proosa"</f>
        <v>lühiproosa, proosa</v>
      </c>
      <c r="G360" t="str">
        <f>"  täiskasvanud"</f>
        <v xml:space="preserve">  täiskasvanud</v>
      </c>
      <c r="H360" t="str">
        <f t="shared" si="34"/>
        <v>1984</v>
      </c>
      <c r="I360" t="str">
        <f>"Pasi ja Lennu ; Tavalised inimesed"</f>
        <v>Pasi ja Lennu ; Tavalised inimesed</v>
      </c>
      <c r="J360" t="str">
        <f>"Saluri, Piret"</f>
        <v>Saluri, Piret</v>
      </c>
      <c r="K360" t="str">
        <f>"Perioodika, Tallinn"</f>
        <v>Perioodika, Tallinn</v>
      </c>
      <c r="L360" t="str">
        <f>""</f>
        <v/>
      </c>
      <c r="M360" t="str">
        <f>""</f>
        <v/>
      </c>
    </row>
    <row r="361" spans="1:13" ht="15">
      <c r="A361" t="s">
        <v>404</v>
      </c>
      <c r="B361" t="str">
        <f>"15278"</f>
        <v>15278</v>
      </c>
      <c r="C361" t="str">
        <f>""</f>
        <v/>
      </c>
      <c r="D361" t="str">
        <f>""</f>
        <v/>
      </c>
      <c r="E361" t="str">
        <f t="shared" si="31"/>
        <v>viro</v>
      </c>
      <c r="F361" t="str">
        <f>"luule, lüürika"</f>
        <v>luule, lüürika</v>
      </c>
      <c r="G361" t="str">
        <f>"  täiskasvanud"</f>
        <v xml:space="preserve">  täiskasvanud</v>
      </c>
      <c r="H361" t="str">
        <f t="shared" si="34"/>
        <v>1984</v>
      </c>
      <c r="I361" t="str">
        <f>"Luulet kogudest Rukkililleõhtu, Keskpäevane pilv ja Anna meid kõiki üksteisele"</f>
        <v>Luulet kogudest Rukkililleõhtu, Keskpäevane pilv ja Anna meid kõiki üksteisele</v>
      </c>
      <c r="J361" t="str">
        <f>"Kivioja, Laila"</f>
        <v>Kivioja, Laila</v>
      </c>
      <c r="K361" t="str">
        <f>"[s.n.], Tallinn"</f>
        <v>[s.n.], Tallinn</v>
      </c>
      <c r="L361" t="str">
        <f>""</f>
        <v/>
      </c>
      <c r="M361" t="str">
        <f>"9512608901"</f>
        <v>9512608901</v>
      </c>
    </row>
    <row r="362" spans="1:13" ht="15">
      <c r="A362" t="s">
        <v>519</v>
      </c>
      <c r="B362" t="str">
        <f>"299"</f>
        <v>299</v>
      </c>
      <c r="C362" t="str">
        <f>"1984"</f>
        <v>1984</v>
      </c>
      <c r="D362" t="str">
        <f>"Sampo Lappelill : en saga från finska Lappland"</f>
        <v>Sampo Lappelill : en saga från finska Lappland</v>
      </c>
      <c r="E362" t="str">
        <f t="shared" si="31"/>
        <v>viro</v>
      </c>
      <c r="F362" t="str">
        <f>"pildiraamatud"</f>
        <v>pildiraamatud</v>
      </c>
      <c r="G362" t="str">
        <f>" lapsed ja noored"</f>
        <v xml:space="preserve"> lapsed ja noored</v>
      </c>
      <c r="H362" t="str">
        <f t="shared" si="34"/>
        <v>1984</v>
      </c>
      <c r="I362" t="str">
        <f>"Sampo Lappelill"</f>
        <v>Sampo Lappelill</v>
      </c>
      <c r="J362" t="str">
        <f>"Airik-Priuhka, Silvia"</f>
        <v>Airik-Priuhka, Silvia</v>
      </c>
      <c r="K362" t="str">
        <f>"Välis-Eesti &amp; EMP, Stockholm"</f>
        <v>Välis-Eesti &amp; EMP, Stockholm</v>
      </c>
      <c r="L362" t="str">
        <f>""</f>
        <v/>
      </c>
      <c r="M362" t="str">
        <f>"91-86116-30-4"</f>
        <v>91-86116-30-4</v>
      </c>
    </row>
    <row r="363" spans="1:13" ht="15">
      <c r="A363" t="s">
        <v>563</v>
      </c>
      <c r="B363" t="str">
        <f>"2910"</f>
        <v>2910</v>
      </c>
      <c r="C363" t="str">
        <f>"1937"</f>
        <v>1937</v>
      </c>
      <c r="D363" t="str">
        <f>"Vieras mies tuli taloon ; Fine van Brooklyn ; Kuun maisema"</f>
        <v>Vieras mies tuli taloon ; Fine van Brooklyn ; Kuun maisema</v>
      </c>
      <c r="E363" t="str">
        <f t="shared" si="31"/>
        <v>viro</v>
      </c>
      <c r="F363" t="str">
        <f>"romaanid; proosa"</f>
        <v>romaanid; proosa</v>
      </c>
      <c r="G363" t="str">
        <f>"  täiskasvanud"</f>
        <v xml:space="preserve">  täiskasvanud</v>
      </c>
      <c r="H363" t="str">
        <f t="shared" si="34"/>
        <v>1984</v>
      </c>
      <c r="I363" t="str">
        <f>"Võõras mees tuli tallu ; Fine van Brooklyn ; Kuumaastik"</f>
        <v>Võõras mees tuli tallu ; Fine van Brooklyn ; Kuumaastik</v>
      </c>
      <c r="J363" t="str">
        <f>"Mallene, Endel, Saluri, Piret"</f>
        <v>Mallene, Endel, Saluri, Piret</v>
      </c>
      <c r="K363" t="str">
        <f>"Eesti Raamat, Tallinn"</f>
        <v>Eesti Raamat, Tallinn</v>
      </c>
      <c r="L363" t="str">
        <f>""</f>
        <v/>
      </c>
      <c r="M363" t="str">
        <f>""</f>
        <v/>
      </c>
    </row>
    <row r="364" spans="1:13" ht="15">
      <c r="A364" t="s">
        <v>569</v>
      </c>
      <c r="B364" t="str">
        <f>"3256"</f>
        <v>3256</v>
      </c>
      <c r="C364" t="str">
        <f>""</f>
        <v/>
      </c>
      <c r="D364" t="str">
        <f>"Näytelmät"</f>
        <v>Näytelmät</v>
      </c>
      <c r="E364" t="str">
        <f t="shared" si="31"/>
        <v>viro</v>
      </c>
      <c r="F364" t="str">
        <f>"näidendid; draama"</f>
        <v>näidendid; draama</v>
      </c>
      <c r="G364" t="str">
        <f>"  täiskasvanud"</f>
        <v xml:space="preserve">  täiskasvanud</v>
      </c>
      <c r="H364" t="str">
        <f t="shared" si="34"/>
        <v>1984</v>
      </c>
      <c r="I364" t="str">
        <f>"Näidendid"</f>
        <v>Näidendid</v>
      </c>
      <c r="J364" t="str">
        <f>"Viiding, Linda"</f>
        <v>Viiding, Linda</v>
      </c>
      <c r="K364" t="str">
        <f>"Eesti Raamat, Tallinn"</f>
        <v>Eesti Raamat, Tallinn</v>
      </c>
      <c r="L364" t="str">
        <f>""</f>
        <v/>
      </c>
      <c r="M364" t="str">
        <f>""</f>
        <v/>
      </c>
    </row>
    <row r="365" spans="1:13" ht="15">
      <c r="A365" t="s">
        <v>92</v>
      </c>
      <c r="B365" t="str">
        <f>"2847"</f>
        <v>2847</v>
      </c>
      <c r="C365" t="str">
        <f>"1980"</f>
        <v>1980</v>
      </c>
      <c r="D365" t="str">
        <f>"Koirankynnen leikkaaja"</f>
        <v>Koirankynnen leikkaaja</v>
      </c>
      <c r="E365" t="str">
        <f t="shared" si="31"/>
        <v>viro</v>
      </c>
      <c r="F365" t="str">
        <f>"romaanid; proosa"</f>
        <v>romaanid; proosa</v>
      </c>
      <c r="G365" t="str">
        <f>"  täiskasvanud"</f>
        <v xml:space="preserve">  täiskasvanud</v>
      </c>
      <c r="H365" t="str">
        <f aca="true" t="shared" si="35" ref="H365:H372">"1985"</f>
        <v>1985</v>
      </c>
      <c r="I365" t="str">
        <f>"Koeraküüne lõikaja"</f>
        <v>Koeraküüne lõikaja</v>
      </c>
      <c r="J365" t="str">
        <f>"Kokla, Tiiu"</f>
        <v>Kokla, Tiiu</v>
      </c>
      <c r="K365" t="str">
        <f>"Eesti Raamat, Tallinn"</f>
        <v>Eesti Raamat, Tallinn</v>
      </c>
      <c r="L365" t="str">
        <f>""</f>
        <v/>
      </c>
      <c r="M365" t="str">
        <f>""</f>
        <v/>
      </c>
    </row>
    <row r="366" spans="1:13" ht="15">
      <c r="A366" t="s">
        <v>292</v>
      </c>
      <c r="B366" t="str">
        <f>"10549"</f>
        <v>10549</v>
      </c>
      <c r="C366" t="str">
        <f>"1849"</f>
        <v>1849</v>
      </c>
      <c r="D366" t="str">
        <f>"Kalevala"</f>
        <v>Kalevala</v>
      </c>
      <c r="E366" t="str">
        <f>"venäjä, viro"</f>
        <v>venäjä, viro</v>
      </c>
      <c r="F366" t="str">
        <f>"luule, rahvaluule"</f>
        <v>luule, rahvaluule</v>
      </c>
      <c r="G366" t="str">
        <f>"  täiskasvanud"</f>
        <v xml:space="preserve">  täiskasvanud</v>
      </c>
      <c r="H366" t="str">
        <f t="shared" si="35"/>
        <v>1985</v>
      </c>
      <c r="I366" t="str">
        <f>"Kalevala : 12 sõejoonistust"</f>
        <v>Kalevala : 12 sõejoonistust</v>
      </c>
      <c r="J366" t="str">
        <f>"Annist, August, Bel'skij, L. P."</f>
        <v>Annist, August, Bel'skij, L. P.</v>
      </c>
      <c r="K366" t="str">
        <f>"Kunst, Tallinn"</f>
        <v>Kunst, Tallinn</v>
      </c>
      <c r="L366" t="str">
        <f>""</f>
        <v/>
      </c>
      <c r="M366" t="str">
        <f>""</f>
        <v/>
      </c>
    </row>
    <row r="367" spans="1:13" ht="15">
      <c r="A367" t="s">
        <v>292</v>
      </c>
      <c r="B367" t="str">
        <f>"10548"</f>
        <v>10548</v>
      </c>
      <c r="C367" t="str">
        <f>"1849"</f>
        <v>1849</v>
      </c>
      <c r="D367" t="str">
        <f>"Kalevala"</f>
        <v>Kalevala</v>
      </c>
      <c r="E367" t="str">
        <f aca="true" t="shared" si="36" ref="E367:E430">"viro"</f>
        <v>viro</v>
      </c>
      <c r="F367" t="str">
        <f>"luule, rahvaluule"</f>
        <v>luule, rahvaluule</v>
      </c>
      <c r="G367" t="str">
        <f>"  täiskasvanud"</f>
        <v xml:space="preserve">  täiskasvanud</v>
      </c>
      <c r="H367" t="str">
        <f t="shared" si="35"/>
        <v>1985</v>
      </c>
      <c r="I367" t="str">
        <f>"Kalevala"</f>
        <v>Kalevala</v>
      </c>
      <c r="J367" t="str">
        <f>"Annist, August"</f>
        <v>Annist, August</v>
      </c>
      <c r="K367" t="str">
        <f>"Eesti Raamat, Tallinn"</f>
        <v>Eesti Raamat, Tallinn</v>
      </c>
      <c r="L367" t="str">
        <f>"3. p."</f>
        <v>3. p.</v>
      </c>
      <c r="M367" t="str">
        <f>""</f>
        <v/>
      </c>
    </row>
    <row r="368" spans="1:13" ht="15">
      <c r="A368" t="s">
        <v>321</v>
      </c>
      <c r="B368" t="str">
        <f>"2874"</f>
        <v>2874</v>
      </c>
      <c r="C368" t="str">
        <f>""</f>
        <v/>
      </c>
      <c r="D368" t="str">
        <f>"Herra Huu ; Herra Huu saa naapurin ; Herra Huu muuttaa"</f>
        <v>Herra Huu ; Herra Huu saa naapurin ; Herra Huu muuttaa</v>
      </c>
      <c r="E368" t="str">
        <f t="shared" si="36"/>
        <v>viro</v>
      </c>
      <c r="F368" t="str">
        <f>"proosa"</f>
        <v>proosa</v>
      </c>
      <c r="G368" t="str">
        <f>" lapsed ja noored"</f>
        <v xml:space="preserve"> lapsed ja noored</v>
      </c>
      <c r="H368" t="str">
        <f t="shared" si="35"/>
        <v>1985</v>
      </c>
      <c r="I368" t="str">
        <f>"Härra Huu"</f>
        <v>Härra Huu</v>
      </c>
      <c r="J368" t="str">
        <f>"Niit, Ellen, Saluri, Piret"</f>
        <v>Niit, Ellen, Saluri, Piret</v>
      </c>
      <c r="K368" t="str">
        <f>"Eesti Raamat, Tallinn"</f>
        <v>Eesti Raamat, Tallinn</v>
      </c>
      <c r="L368" t="str">
        <f>""</f>
        <v/>
      </c>
      <c r="M368" t="str">
        <f>""</f>
        <v/>
      </c>
    </row>
    <row r="369" spans="1:13" ht="15">
      <c r="A369" t="s">
        <v>321</v>
      </c>
      <c r="B369" t="str">
        <f>"9636"</f>
        <v>9636</v>
      </c>
      <c r="C369" t="str">
        <f>"1977"</f>
        <v>1977</v>
      </c>
      <c r="D369" t="str">
        <f>"Hevonen, joka hukkasi silmälasinsa"</f>
        <v>Hevonen, joka hukkasi silmälasinsa</v>
      </c>
      <c r="E369" t="str">
        <f t="shared" si="36"/>
        <v>viro</v>
      </c>
      <c r="F369" t="str">
        <f>"proosa"</f>
        <v>proosa</v>
      </c>
      <c r="G369" t="str">
        <f>" lapsed ja noored"</f>
        <v xml:space="preserve"> lapsed ja noored</v>
      </c>
      <c r="H369" t="str">
        <f t="shared" si="35"/>
        <v>1985</v>
      </c>
      <c r="I369" t="str">
        <f>"Hobune, kes kaotas prillid ära"</f>
        <v>Hobune, kes kaotas prillid ära</v>
      </c>
      <c r="J369" t="str">
        <f>"Saluri, Piret"</f>
        <v>Saluri, Piret</v>
      </c>
      <c r="K369" t="str">
        <f>"Eesti Raamat, Tallinn"</f>
        <v>Eesti Raamat, Tallinn</v>
      </c>
      <c r="L369" t="str">
        <f>"2. p."</f>
        <v>2. p.</v>
      </c>
      <c r="M369" t="str">
        <f>""</f>
        <v/>
      </c>
    </row>
    <row r="370" spans="1:13" ht="15">
      <c r="A370" t="s">
        <v>400</v>
      </c>
      <c r="B370" t="str">
        <f>"2887"</f>
        <v>2887</v>
      </c>
      <c r="C370" t="str">
        <f>"1979"</f>
        <v>1979</v>
      </c>
      <c r="D370" t="str">
        <f>"Tie ; Syksy ja pimeä"</f>
        <v>Tie ; Syksy ja pimeä</v>
      </c>
      <c r="E370" t="str">
        <f t="shared" si="36"/>
        <v>viro</v>
      </c>
      <c r="F370" t="str">
        <f>"lühiproosa; romaanid; proosa"</f>
        <v>lühiproosa; romaanid; proosa</v>
      </c>
      <c r="G370" t="str">
        <f>"  täiskasvanud"</f>
        <v xml:space="preserve">  täiskasvanud</v>
      </c>
      <c r="H370" t="str">
        <f t="shared" si="35"/>
        <v>1985</v>
      </c>
      <c r="I370" t="str">
        <f>"Tee ; Sügis ja pimedus"</f>
        <v>Tee ; Sügis ja pimedus</v>
      </c>
      <c r="J370" t="str">
        <f>"Saluri, Piret"</f>
        <v>Saluri, Piret</v>
      </c>
      <c r="K370" t="str">
        <f>"Eesti Raamat, Tallinn"</f>
        <v>Eesti Raamat, Tallinn</v>
      </c>
      <c r="L370" t="str">
        <f>""</f>
        <v/>
      </c>
      <c r="M370" t="str">
        <f>""</f>
        <v/>
      </c>
    </row>
    <row r="371" spans="1:13" ht="15">
      <c r="A371" t="s">
        <v>436</v>
      </c>
      <c r="B371" t="str">
        <f>"2891"</f>
        <v>2891</v>
      </c>
      <c r="C371" t="str">
        <f>""</f>
        <v/>
      </c>
      <c r="D371" t="str">
        <f>"Asiaa tai ei ; Euroopan reuna"</f>
        <v>Asiaa tai ei ; Euroopan reuna</v>
      </c>
      <c r="E371" t="str">
        <f t="shared" si="36"/>
        <v>viro</v>
      </c>
      <c r="F371" t="str">
        <f>""</f>
        <v/>
      </c>
      <c r="G371" t="str">
        <f>"  täiskasvanud"</f>
        <v xml:space="preserve">  täiskasvanud</v>
      </c>
      <c r="H371" t="str">
        <f t="shared" si="35"/>
        <v>1985</v>
      </c>
      <c r="I371" t="str">
        <f>"On või ei ole ; Euroopa serval"</f>
        <v>On või ei ole ; Euroopa serval</v>
      </c>
      <c r="J371" t="str">
        <f>"Saluri, Piret"</f>
        <v>Saluri, Piret</v>
      </c>
      <c r="K371" t="str">
        <f>"Perioodika, Tallinn"</f>
        <v>Perioodika, Tallinn</v>
      </c>
      <c r="L371" t="str">
        <f>""</f>
        <v/>
      </c>
      <c r="M371" t="str">
        <f>""</f>
        <v/>
      </c>
    </row>
    <row r="372" spans="1:13" ht="15">
      <c r="A372" t="s">
        <v>440</v>
      </c>
      <c r="B372" t="str">
        <f>"2892"</f>
        <v>2892</v>
      </c>
      <c r="C372" t="str">
        <f>""</f>
        <v/>
      </c>
      <c r="D372" t="str">
        <f>"Tienviitta ja muita novelleja ; Kolme sukupolvea"</f>
        <v>Tienviitta ja muita novelleja ; Kolme sukupolvea</v>
      </c>
      <c r="E372" t="str">
        <f t="shared" si="36"/>
        <v>viro</v>
      </c>
      <c r="F372" t="str">
        <f>"lühiproosa, proosa"</f>
        <v>lühiproosa, proosa</v>
      </c>
      <c r="G372" t="str">
        <f>"  täiskasvanud"</f>
        <v xml:space="preserve">  täiskasvanud</v>
      </c>
      <c r="H372" t="str">
        <f t="shared" si="35"/>
        <v>1985</v>
      </c>
      <c r="I372" t="str">
        <f>"Novellid"</f>
        <v>Novellid</v>
      </c>
      <c r="J372" t="str">
        <f>"Mallene, Endel"</f>
        <v>Mallene, Endel</v>
      </c>
      <c r="K372" t="str">
        <f>"Eesti Raamat, Tallinn"</f>
        <v>Eesti Raamat, Tallinn</v>
      </c>
      <c r="L372" t="str">
        <f>""</f>
        <v/>
      </c>
      <c r="M372" t="str">
        <f>""</f>
        <v/>
      </c>
    </row>
    <row r="373" spans="1:13" ht="15">
      <c r="A373" t="s">
        <v>120</v>
      </c>
      <c r="B373" t="str">
        <f>"2857"</f>
        <v>2857</v>
      </c>
      <c r="C373" t="str">
        <f>"1983"</f>
        <v>1983</v>
      </c>
      <c r="D373" t="str">
        <f>"Harjunpää ja poliisin poika"</f>
        <v>Harjunpää ja poliisin poika</v>
      </c>
      <c r="E373" t="str">
        <f t="shared" si="36"/>
        <v>viro</v>
      </c>
      <c r="F373" t="str">
        <f>"romaanid; põnevus- ja krimikirjandus; proosa"</f>
        <v>romaanid; põnevus- ja krimikirjandus; proosa</v>
      </c>
      <c r="G373" t="str">
        <f>"  täiskasvanud"</f>
        <v xml:space="preserve">  täiskasvanud</v>
      </c>
      <c r="H373" t="str">
        <f aca="true" t="shared" si="37" ref="H373:H378">"1986"</f>
        <v>1986</v>
      </c>
      <c r="I373" t="str">
        <f>"Harjunpää ja politseiniku poeg"</f>
        <v>Harjunpää ja politseiniku poeg</v>
      </c>
      <c r="J373" t="str">
        <f>"Paikre, Ants"</f>
        <v>Paikre, Ants</v>
      </c>
      <c r="K373" t="str">
        <f>"Eesti Raamat, Tallinn"</f>
        <v>Eesti Raamat, Tallinn</v>
      </c>
      <c r="L373" t="str">
        <f>""</f>
        <v/>
      </c>
      <c r="M373" t="str">
        <f>""</f>
        <v/>
      </c>
    </row>
    <row r="374" spans="1:13" ht="15">
      <c r="A374" t="s">
        <v>250</v>
      </c>
      <c r="B374" t="str">
        <f>"2869"</f>
        <v>2869</v>
      </c>
      <c r="C374" t="str">
        <f>"1920"</f>
        <v>1920</v>
      </c>
      <c r="D374" t="str">
        <f>"Putkinotko : kuvaus laiskasta viinarokarista ja tuhmasta herrasta"</f>
        <v>Putkinotko : kuvaus laiskasta viinarokarista ja tuhmasta herrasta</v>
      </c>
      <c r="E374" t="str">
        <f t="shared" si="36"/>
        <v>viro</v>
      </c>
      <c r="F374" t="str">
        <f>"romaanid; proosa"</f>
        <v>romaanid; proosa</v>
      </c>
      <c r="G374" t="str">
        <f>"  täiskasvanud"</f>
        <v xml:space="preserve">  täiskasvanud</v>
      </c>
      <c r="H374" t="str">
        <f t="shared" si="37"/>
        <v>1986</v>
      </c>
      <c r="I374" t="str">
        <f>"Putkinotko"</f>
        <v>Putkinotko</v>
      </c>
      <c r="J374" t="str">
        <f>"Haljamaa, Ants"</f>
        <v>Haljamaa, Ants</v>
      </c>
      <c r="K374" t="str">
        <f>"Eesti Raamat, Tallinn"</f>
        <v>Eesti Raamat, Tallinn</v>
      </c>
      <c r="L374" t="str">
        <f>""</f>
        <v/>
      </c>
      <c r="M374" t="str">
        <f>""</f>
        <v/>
      </c>
    </row>
    <row r="375" spans="1:13" ht="15">
      <c r="A375" t="s">
        <v>260</v>
      </c>
      <c r="B375" t="str">
        <f>"3699"</f>
        <v>3699</v>
      </c>
      <c r="C375" t="str">
        <f>"1985"</f>
        <v>1985</v>
      </c>
      <c r="D375" t="str">
        <f>"Odödlighetens klippa : en finsk folksaga"</f>
        <v>Odödlighetens klippa : en finsk folksaga</v>
      </c>
      <c r="E375" t="str">
        <f t="shared" si="36"/>
        <v>viro</v>
      </c>
      <c r="F375" t="str">
        <f>"pildiraamatud; folkloor"</f>
        <v>pildiraamatud; folkloor</v>
      </c>
      <c r="G375" t="str">
        <f>" lapsed ja noored"</f>
        <v xml:space="preserve"> lapsed ja noored</v>
      </c>
      <c r="H375" t="str">
        <f t="shared" si="37"/>
        <v>1986</v>
      </c>
      <c r="I375" t="str">
        <f>"Igaviku Kaljusaar"</f>
        <v>Igaviku Kaljusaar</v>
      </c>
      <c r="J375" t="str">
        <f>"Airik-Priuhka, Silvia"</f>
        <v>Airik-Priuhka, Silvia</v>
      </c>
      <c r="K375" t="str">
        <f>"Välis-Eesti &amp; EMP, Stockholm"</f>
        <v>Välis-Eesti &amp; EMP, Stockholm</v>
      </c>
      <c r="L375" t="str">
        <f>""</f>
        <v/>
      </c>
      <c r="M375" t="str">
        <f>"91-86116-48-7"</f>
        <v>91-86116-48-7</v>
      </c>
    </row>
    <row r="376" spans="1:13" ht="15">
      <c r="A376" t="s">
        <v>490</v>
      </c>
      <c r="B376" t="str">
        <f>"2896"</f>
        <v>2896</v>
      </c>
      <c r="C376" t="str">
        <f>"1949"</f>
        <v>1949</v>
      </c>
      <c r="D376" t="str">
        <f>"Samlade dikter"</f>
        <v>Samlade dikter</v>
      </c>
      <c r="E376" t="str">
        <f t="shared" si="36"/>
        <v>viro</v>
      </c>
      <c r="F376" t="str">
        <f>"luule, lüürika"</f>
        <v>luule, lüürika</v>
      </c>
      <c r="G376" t="str">
        <f>"  täiskasvanud"</f>
        <v xml:space="preserve">  täiskasvanud</v>
      </c>
      <c r="H376" t="str">
        <f t="shared" si="37"/>
        <v>1986</v>
      </c>
      <c r="I376" t="str">
        <f>"Tuleviku vari"</f>
        <v>Tuleviku vari</v>
      </c>
      <c r="J376" t="str">
        <f>"Vaarandi, Debora"</f>
        <v>Vaarandi, Debora</v>
      </c>
      <c r="K376" t="str">
        <f>"Eesti Raamat, Tallinn"</f>
        <v>Eesti Raamat, Tallinn</v>
      </c>
      <c r="L376" t="str">
        <f>""</f>
        <v/>
      </c>
      <c r="M376" t="str">
        <f>""</f>
        <v/>
      </c>
    </row>
    <row r="377" spans="1:13" ht="15">
      <c r="A377" t="s">
        <v>514</v>
      </c>
      <c r="B377" t="str">
        <f>"2900"</f>
        <v>2900</v>
      </c>
      <c r="C377" t="str">
        <f>"1978"</f>
        <v>1978</v>
      </c>
      <c r="D377" t="str">
        <f>"Århundradets kärlekssaga"</f>
        <v>Århundradets kärlekssaga</v>
      </c>
      <c r="E377" t="str">
        <f t="shared" si="36"/>
        <v>viro</v>
      </c>
      <c r="F377" t="str">
        <f>"luule, lüürika"</f>
        <v>luule, lüürika</v>
      </c>
      <c r="G377" t="str">
        <f>"  täiskasvanud"</f>
        <v xml:space="preserve">  täiskasvanud</v>
      </c>
      <c r="H377" t="str">
        <f t="shared" si="37"/>
        <v>1986</v>
      </c>
      <c r="I377" t="str">
        <f>"Sajandi armastuslugu"</f>
        <v>Sajandi armastuslugu</v>
      </c>
      <c r="J377" t="str">
        <f>"Aaloe, Ülev"</f>
        <v>Aaloe, Ülev</v>
      </c>
      <c r="K377" t="str">
        <f>"Perioodika, Tallinn"</f>
        <v>Perioodika, Tallinn</v>
      </c>
      <c r="L377" t="str">
        <f>""</f>
        <v/>
      </c>
      <c r="M377" t="str">
        <f>""</f>
        <v/>
      </c>
    </row>
    <row r="378" spans="1:13" ht="15">
      <c r="A378" t="s">
        <v>569</v>
      </c>
      <c r="B378" t="str">
        <f>"14986"</f>
        <v>14986</v>
      </c>
      <c r="C378" t="str">
        <f>"1972"</f>
        <v>1972</v>
      </c>
      <c r="D378" t="str">
        <f>"Koulutyttönä Tartossa 1901-1904"</f>
        <v>Koulutyttönä Tartossa 1901-1904</v>
      </c>
      <c r="E378" t="str">
        <f t="shared" si="36"/>
        <v>viro</v>
      </c>
      <c r="F378" t="str">
        <f>""</f>
        <v/>
      </c>
      <c r="G378" t="str">
        <f>"  täiskasvanud"</f>
        <v xml:space="preserve">  täiskasvanud</v>
      </c>
      <c r="H378" t="str">
        <f t="shared" si="37"/>
        <v>1986</v>
      </c>
      <c r="I378" t="str">
        <f>"Koolitüdrukuna Tartus 1901-1904"</f>
        <v>Koolitüdrukuna Tartus 1901-1904</v>
      </c>
      <c r="J378" t="str">
        <f>"Viiding, Linda"</f>
        <v>Viiding, Linda</v>
      </c>
      <c r="K378" t="str">
        <f>"Perioodika, Tallinn"</f>
        <v>Perioodika, Tallinn</v>
      </c>
      <c r="L378" t="str">
        <f>""</f>
        <v/>
      </c>
      <c r="M378" t="str">
        <f>""</f>
        <v/>
      </c>
    </row>
    <row r="379" spans="2:13" ht="15">
      <c r="B379" t="str">
        <f>"3333"</f>
        <v>3333</v>
      </c>
      <c r="C379" t="str">
        <f>""</f>
        <v/>
      </c>
      <c r="D379" t="str">
        <f>""</f>
        <v/>
      </c>
      <c r="E379" t="str">
        <f t="shared" si="36"/>
        <v>viro</v>
      </c>
      <c r="F379" t="str">
        <f>"lühiproosa, proosa"</f>
        <v>lühiproosa, proosa</v>
      </c>
      <c r="G379" t="str">
        <f>"  täiskasvanud"</f>
        <v xml:space="preserve">  täiskasvanud</v>
      </c>
      <c r="H379" t="str">
        <f aca="true" t="shared" si="38" ref="H379:H386">"1987"</f>
        <v>1987</v>
      </c>
      <c r="I379" t="str">
        <f>"Novelle"</f>
        <v>Novelle</v>
      </c>
      <c r="J379" t="str">
        <f>"Sirp, Luule"</f>
        <v>Sirp, Luule</v>
      </c>
      <c r="K379" t="str">
        <f>"Eesti Raamat, Tallinn"</f>
        <v>Eesti Raamat, Tallinn</v>
      </c>
      <c r="L379" t="str">
        <f>""</f>
        <v/>
      </c>
      <c r="M379" t="str">
        <f>""</f>
        <v/>
      </c>
    </row>
    <row r="380" spans="1:13" ht="15">
      <c r="A380" t="s">
        <v>119</v>
      </c>
      <c r="B380" t="str">
        <f>"2853"</f>
        <v>2853</v>
      </c>
      <c r="C380" t="str">
        <f>"1980"</f>
        <v>1980</v>
      </c>
      <c r="D380" t="str">
        <f>"Eteisiin ja kynnyksille"</f>
        <v>Eteisiin ja kynnyksille</v>
      </c>
      <c r="E380" t="str">
        <f t="shared" si="36"/>
        <v>viro</v>
      </c>
      <c r="F380" t="str">
        <f>"romaanid; proosa"</f>
        <v>romaanid; proosa</v>
      </c>
      <c r="G380" t="str">
        <f>"  täiskasvanud"</f>
        <v xml:space="preserve">  täiskasvanud</v>
      </c>
      <c r="H380" t="str">
        <f t="shared" si="38"/>
        <v>1987</v>
      </c>
      <c r="I380" t="str">
        <f>"Esikutesse ja künnistele"</f>
        <v>Esikutesse ja künnistele</v>
      </c>
      <c r="J380" t="str">
        <f>"Männamaa, Hella-Mare"</f>
        <v>Männamaa, Hella-Mare</v>
      </c>
      <c r="K380" t="str">
        <f>"Eesti Raamat, Tallinn"</f>
        <v>Eesti Raamat, Tallinn</v>
      </c>
      <c r="L380" t="str">
        <f>""</f>
        <v/>
      </c>
      <c r="M380" t="str">
        <f>""</f>
        <v/>
      </c>
    </row>
    <row r="381" spans="1:13" ht="15">
      <c r="A381" t="s">
        <v>175</v>
      </c>
      <c r="B381" t="str">
        <f>"2864"</f>
        <v>2864</v>
      </c>
      <c r="C381" t="str">
        <f>"1975"</f>
        <v>1975</v>
      </c>
      <c r="D381" t="str">
        <f>"Dyre prins"</f>
        <v>Dyre prins</v>
      </c>
      <c r="E381" t="str">
        <f t="shared" si="36"/>
        <v>viro</v>
      </c>
      <c r="F381" t="str">
        <f>"romaanid; proosa"</f>
        <v>romaanid; proosa</v>
      </c>
      <c r="G381" t="str">
        <f>"  täiskasvanud"</f>
        <v xml:space="preserve">  täiskasvanud</v>
      </c>
      <c r="H381" t="str">
        <f t="shared" si="38"/>
        <v>1987</v>
      </c>
      <c r="I381" t="str">
        <f>"Kallis prints"</f>
        <v>Kallis prints</v>
      </c>
      <c r="J381" t="str">
        <f>"Aaloe, Ülev"</f>
        <v>Aaloe, Ülev</v>
      </c>
      <c r="K381" t="str">
        <f>"Eesti Raamat, Tallinn"</f>
        <v>Eesti Raamat, Tallinn</v>
      </c>
      <c r="L381" t="str">
        <f>""</f>
        <v/>
      </c>
      <c r="M381" t="str">
        <f>""</f>
        <v/>
      </c>
    </row>
    <row r="382" spans="1:13" ht="15">
      <c r="A382" t="s">
        <v>212</v>
      </c>
      <c r="B382" t="str">
        <f>"2866"</f>
        <v>2866</v>
      </c>
      <c r="C382" t="str">
        <f>"1976"</f>
        <v>1976</v>
      </c>
      <c r="D382" t="str">
        <f>"Ihmisen vaatteissa"</f>
        <v>Ihmisen vaatteissa</v>
      </c>
      <c r="E382" t="str">
        <f t="shared" si="36"/>
        <v>viro</v>
      </c>
      <c r="F382" t="str">
        <f>"romaanid; proosa"</f>
        <v>romaanid; proosa</v>
      </c>
      <c r="G382" t="str">
        <f>" lapsed ja noored"</f>
        <v xml:space="preserve"> lapsed ja noored</v>
      </c>
      <c r="H382" t="str">
        <f t="shared" si="38"/>
        <v>1987</v>
      </c>
      <c r="I382" t="str">
        <f>"Inimkuues"</f>
        <v>Inimkuues</v>
      </c>
      <c r="J382" t="str">
        <f>"Saluri, Piret"</f>
        <v>Saluri, Piret</v>
      </c>
      <c r="K382" t="str">
        <f>"Eesti Raamat, Tallinn"</f>
        <v>Eesti Raamat, Tallinn</v>
      </c>
      <c r="L382" t="str">
        <f>""</f>
        <v/>
      </c>
      <c r="M382" t="str">
        <f>""</f>
        <v/>
      </c>
    </row>
    <row r="383" spans="1:13" ht="15">
      <c r="A383" t="s">
        <v>351</v>
      </c>
      <c r="B383" t="str">
        <f>"2878"</f>
        <v>2878</v>
      </c>
      <c r="C383" t="str">
        <f>""</f>
        <v/>
      </c>
      <c r="D383" t="str">
        <f>"Kinesisk utflykt ; Hemkomst : tre berättelser"</f>
        <v>Kinesisk utflykt ; Hemkomst : tre berättelser</v>
      </c>
      <c r="E383" t="str">
        <f t="shared" si="36"/>
        <v>viro</v>
      </c>
      <c r="F383" t="str">
        <f>"lühiproosa, proosa"</f>
        <v>lühiproosa, proosa</v>
      </c>
      <c r="G383" t="str">
        <f>"  täiskasvanud"</f>
        <v xml:space="preserve">  täiskasvanud</v>
      </c>
      <c r="H383" t="str">
        <f t="shared" si="38"/>
        <v>1987</v>
      </c>
      <c r="I383" t="str">
        <f>"Siidimaal ; Kojutulek"</f>
        <v>Siidimaal ; Kojutulek</v>
      </c>
      <c r="J383" t="str">
        <f>"Ravel, Arnold"</f>
        <v>Ravel, Arnold</v>
      </c>
      <c r="K383" t="str">
        <f>"Perioodika, Tallinn"</f>
        <v>Perioodika, Tallinn</v>
      </c>
      <c r="L383" t="str">
        <f>""</f>
        <v/>
      </c>
      <c r="M383" t="str">
        <f>""</f>
        <v/>
      </c>
    </row>
    <row r="384" spans="1:13" ht="15">
      <c r="A384" t="s">
        <v>356</v>
      </c>
      <c r="B384" t="str">
        <f>"2879"</f>
        <v>2879</v>
      </c>
      <c r="C384" t="str">
        <f>"1981"</f>
        <v>1981</v>
      </c>
      <c r="D384" t="str">
        <f>"Ulvova mylläri"</f>
        <v>Ulvova mylläri</v>
      </c>
      <c r="E384" t="str">
        <f t="shared" si="36"/>
        <v>viro</v>
      </c>
      <c r="F384" t="str">
        <f>"romaanid; proosa"</f>
        <v>romaanid; proosa</v>
      </c>
      <c r="G384" t="str">
        <f>"  täiskasvanud"</f>
        <v xml:space="preserve">  täiskasvanud</v>
      </c>
      <c r="H384" t="str">
        <f t="shared" si="38"/>
        <v>1987</v>
      </c>
      <c r="I384" t="str">
        <f>"Ulguv mölder"</f>
        <v>Ulguv mölder</v>
      </c>
      <c r="J384" t="str">
        <f>"Ruutsoo, Sirje"</f>
        <v>Ruutsoo, Sirje</v>
      </c>
      <c r="K384" t="str">
        <f>"Perioodika, Tallinn"</f>
        <v>Perioodika, Tallinn</v>
      </c>
      <c r="L384" t="str">
        <f>""</f>
        <v/>
      </c>
      <c r="M384" t="str">
        <f>""</f>
        <v/>
      </c>
    </row>
    <row r="385" spans="1:13" ht="15">
      <c r="A385" t="s">
        <v>461</v>
      </c>
      <c r="B385" t="str">
        <f>"2893"</f>
        <v>2893</v>
      </c>
      <c r="C385" t="str">
        <f>"1986"</f>
        <v>1986</v>
      </c>
      <c r="D385" t="str">
        <f>"Tuomitut : novelleja (Helsinki : Otava, 1982) ; Elämän keskipiste : novelleja (Helsinki : Otava, 1983) ; Pieni valhe : novelleja"</f>
        <v>Tuomitut : novelleja (Helsinki : Otava, 1982) ; Elämän keskipiste : novelleja (Helsinki : Otava, 1983) ; Pieni valhe : novelleja</v>
      </c>
      <c r="E385" t="str">
        <f t="shared" si="36"/>
        <v>viro</v>
      </c>
      <c r="F385" t="str">
        <f>"lühiproosa, proosa"</f>
        <v>lühiproosa, proosa</v>
      </c>
      <c r="G385" t="str">
        <f>"  täiskasvanud"</f>
        <v xml:space="preserve">  täiskasvanud</v>
      </c>
      <c r="H385" t="str">
        <f t="shared" si="38"/>
        <v>1987</v>
      </c>
      <c r="I385" t="str">
        <f>"Elu keskpunkt"</f>
        <v>Elu keskpunkt</v>
      </c>
      <c r="J385" t="str">
        <f>"Saluri, Piret"</f>
        <v>Saluri, Piret</v>
      </c>
      <c r="K385" t="str">
        <f>"Perioodika, Tallinn"</f>
        <v>Perioodika, Tallinn</v>
      </c>
      <c r="L385" t="str">
        <f>""</f>
        <v/>
      </c>
      <c r="M385" t="str">
        <f>"1406-0515"</f>
        <v>1406-0515</v>
      </c>
    </row>
    <row r="386" spans="1:13" ht="15">
      <c r="A386" t="s">
        <v>571</v>
      </c>
      <c r="B386" t="str">
        <f>"3257"</f>
        <v>3257</v>
      </c>
      <c r="C386" t="str">
        <f>""</f>
        <v/>
      </c>
      <c r="D386" t="str">
        <f>"Tarjoilijatar"</f>
        <v>Tarjoilijatar</v>
      </c>
      <c r="E386" t="str">
        <f t="shared" si="36"/>
        <v>viro</v>
      </c>
      <c r="F386" t="str">
        <f>"näidendid; draama"</f>
        <v>näidendid; draama</v>
      </c>
      <c r="G386" t="str">
        <f>"  täiskasvanud"</f>
        <v xml:space="preserve">  täiskasvanud</v>
      </c>
      <c r="H386" t="str">
        <f t="shared" si="38"/>
        <v>1987</v>
      </c>
      <c r="I386" t="str">
        <f>"Ettekandja"</f>
        <v>Ettekandja</v>
      </c>
      <c r="J386" t="str">
        <f>"Kampus, Evald"</f>
        <v>Kampus, Evald</v>
      </c>
      <c r="K386" t="str">
        <f>"Eesti Televisioon, Tallinn"</f>
        <v>Eesti Televisioon, Tallinn</v>
      </c>
      <c r="L386" t="str">
        <f>""</f>
        <v/>
      </c>
      <c r="M386" t="str">
        <f>""</f>
        <v/>
      </c>
    </row>
    <row r="387" spans="1:13" ht="15">
      <c r="A387" t="s">
        <v>5</v>
      </c>
      <c r="B387" t="str">
        <f>"2838"</f>
        <v>2838</v>
      </c>
      <c r="C387" t="str">
        <f>"1958"</f>
        <v>1958</v>
      </c>
      <c r="D387" t="str">
        <f>"Pikku Pietarin piha"</f>
        <v>Pikku Pietarin piha</v>
      </c>
      <c r="E387" t="str">
        <f t="shared" si="36"/>
        <v>viro</v>
      </c>
      <c r="F387" t="str">
        <f>"romaanid; proosa"</f>
        <v>romaanid; proosa</v>
      </c>
      <c r="G387" t="str">
        <f>"  täiskasvanud"</f>
        <v xml:space="preserve">  täiskasvanud</v>
      </c>
      <c r="H387" t="str">
        <f>"1988"</f>
        <v>1988</v>
      </c>
      <c r="I387" t="str">
        <f>"Pisikese Peetruse hoov"</f>
        <v>Pisikese Peetruse hoov</v>
      </c>
      <c r="J387" t="str">
        <f>"Mallene, Endel"</f>
        <v>Mallene, Endel</v>
      </c>
      <c r="K387" t="str">
        <f>"Perioodika, Tallinn"</f>
        <v>Perioodika, Tallinn</v>
      </c>
      <c r="L387" t="str">
        <f>""</f>
        <v/>
      </c>
      <c r="M387" t="str">
        <f>""</f>
        <v/>
      </c>
    </row>
    <row r="388" spans="1:13" ht="15">
      <c r="A388" t="s">
        <v>222</v>
      </c>
      <c r="B388" t="str">
        <f>"2868"</f>
        <v>2868</v>
      </c>
      <c r="C388" t="str">
        <f>"1976"</f>
        <v>1976</v>
      </c>
      <c r="D388" t="str">
        <f>"Susikoira Roi"</f>
        <v>Susikoira Roi</v>
      </c>
      <c r="E388" t="str">
        <f t="shared" si="36"/>
        <v>viro</v>
      </c>
      <c r="F388" t="str">
        <f>"romaanid; põnevus- ja krimikirjandus; proosa"</f>
        <v>romaanid; põnevus- ja krimikirjandus; proosa</v>
      </c>
      <c r="G388" t="str">
        <f>" lapsed ja noored"</f>
        <v xml:space="preserve"> lapsed ja noored</v>
      </c>
      <c r="H388" t="str">
        <f>"1988"</f>
        <v>1988</v>
      </c>
      <c r="I388" t="str">
        <f>"Hundikoer Roi"</f>
        <v>Hundikoer Roi</v>
      </c>
      <c r="J388" t="str">
        <f>"Saluri, Piret"</f>
        <v>Saluri, Piret</v>
      </c>
      <c r="K388" t="str">
        <f>"Eesti Raamat, Tallinn"</f>
        <v>Eesti Raamat, Tallinn</v>
      </c>
      <c r="L388" t="str">
        <f>""</f>
        <v/>
      </c>
      <c r="M388" t="str">
        <f>"5-450-00398-6"</f>
        <v>5-450-00398-6</v>
      </c>
    </row>
    <row r="389" spans="1:13" ht="15">
      <c r="A389" t="s">
        <v>313</v>
      </c>
      <c r="B389" t="str">
        <f>"551"</f>
        <v>551</v>
      </c>
      <c r="C389" t="str">
        <f>"1977"</f>
        <v>1977</v>
      </c>
      <c r="D389" t="str">
        <f>"Anni Manninen"</f>
        <v>Anni Manninen</v>
      </c>
      <c r="E389" t="str">
        <f t="shared" si="36"/>
        <v>viro</v>
      </c>
      <c r="F389" t="str">
        <f>"romaanid; proosa"</f>
        <v>romaanid; proosa</v>
      </c>
      <c r="G389" t="str">
        <f>" lapsed ja noored"</f>
        <v xml:space="preserve"> lapsed ja noored</v>
      </c>
      <c r="H389" t="str">
        <f>"1988"</f>
        <v>1988</v>
      </c>
      <c r="I389" t="str">
        <f>"Anni Manninen"</f>
        <v>Anni Manninen</v>
      </c>
      <c r="J389" t="str">
        <f>"Karu, Anne, Tungal, Leelo"</f>
        <v>Karu, Anne, Tungal, Leelo</v>
      </c>
      <c r="K389" t="str">
        <f>"Eesti Raamat, Tallinn"</f>
        <v>Eesti Raamat, Tallinn</v>
      </c>
      <c r="L389" t="str">
        <f>""</f>
        <v/>
      </c>
      <c r="M389" t="str">
        <f>"5-450-00391-9"</f>
        <v>5-450-00391-9</v>
      </c>
    </row>
    <row r="390" spans="1:13" ht="15">
      <c r="A390" t="s">
        <v>531</v>
      </c>
      <c r="B390" t="str">
        <f>"2908"</f>
        <v>2908</v>
      </c>
      <c r="C390" t="str">
        <f>"1985"</f>
        <v>1985</v>
      </c>
      <c r="D390" t="str">
        <f>"Viisitoista metriä vasempaan"</f>
        <v>Viisitoista metriä vasempaan</v>
      </c>
      <c r="E390" t="str">
        <f t="shared" si="36"/>
        <v>viro</v>
      </c>
      <c r="F390" t="str">
        <f>"romaanid; proosa"</f>
        <v>romaanid; proosa</v>
      </c>
      <c r="G390" t="str">
        <f>"  täiskasvanud"</f>
        <v xml:space="preserve">  täiskasvanud</v>
      </c>
      <c r="H390" t="str">
        <f>"1988"</f>
        <v>1988</v>
      </c>
      <c r="I390" t="str">
        <f>"Viisteist meetrit vasakule"</f>
        <v>Viisteist meetrit vasakule</v>
      </c>
      <c r="J390" t="str">
        <f>"Saluri, Piret"</f>
        <v>Saluri, Piret</v>
      </c>
      <c r="K390" t="str">
        <f>"Perioodika, Tallinn"</f>
        <v>Perioodika, Tallinn</v>
      </c>
      <c r="L390" t="str">
        <f>""</f>
        <v/>
      </c>
      <c r="M390" t="str">
        <f>""</f>
        <v/>
      </c>
    </row>
    <row r="391" spans="1:13" ht="15">
      <c r="A391" t="s">
        <v>544</v>
      </c>
      <c r="B391" t="str">
        <f>"2911"</f>
        <v>2911</v>
      </c>
      <c r="C391" t="str">
        <f>"1967"</f>
        <v>1967</v>
      </c>
      <c r="D391" t="str">
        <f>"Hänen olivat linnut ; Maan ja veden välillä"</f>
        <v>Hänen olivat linnut ; Maan ja veden välillä</v>
      </c>
      <c r="E391" t="str">
        <f t="shared" si="36"/>
        <v>viro</v>
      </c>
      <c r="F391" t="str">
        <f>"lühiproosa; romaanid; proosa"</f>
        <v>lühiproosa; romaanid; proosa</v>
      </c>
      <c r="G391" t="str">
        <f>"  täiskasvanud"</f>
        <v xml:space="preserve">  täiskasvanud</v>
      </c>
      <c r="H391" t="str">
        <f>"1988"</f>
        <v>1988</v>
      </c>
      <c r="I391" t="str">
        <f>"Temal olid linnud ; Maa ja vee vahel"</f>
        <v>Temal olid linnud ; Maa ja vee vahel</v>
      </c>
      <c r="J391" t="str">
        <f>"Saluri, Piret"</f>
        <v>Saluri, Piret</v>
      </c>
      <c r="K391" t="str">
        <f aca="true" t="shared" si="39" ref="K391:K397">"Eesti Raamat, Tallinn"</f>
        <v>Eesti Raamat, Tallinn</v>
      </c>
      <c r="L391" t="str">
        <f>""</f>
        <v/>
      </c>
      <c r="M391" t="str">
        <f>"5-450-00321-8"</f>
        <v>5-450-00321-8</v>
      </c>
    </row>
    <row r="392" spans="1:13" ht="15">
      <c r="A392" t="s">
        <v>95</v>
      </c>
      <c r="B392" t="str">
        <f>"2849"</f>
        <v>2849</v>
      </c>
      <c r="C392" t="str">
        <f>"1975"</f>
        <v>1975</v>
      </c>
      <c r="D392" t="str">
        <f>"Silta liikkuu ; Maatuuli"</f>
        <v>Silta liikkuu ; Maatuuli</v>
      </c>
      <c r="E392" t="str">
        <f t="shared" si="36"/>
        <v>viro</v>
      </c>
      <c r="F392" t="str">
        <f>"romaanid; proosa"</f>
        <v>romaanid; proosa</v>
      </c>
      <c r="G392" t="str">
        <f>"  täiskasvanud"</f>
        <v xml:space="preserve">  täiskasvanud</v>
      </c>
      <c r="H392" t="str">
        <f aca="true" t="shared" si="40" ref="H392:H398">"1989"</f>
        <v>1989</v>
      </c>
      <c r="I392" t="str">
        <f>"Sild liigub ; Maatuul"</f>
        <v>Sild liigub ; Maatuul</v>
      </c>
      <c r="J392" t="str">
        <f>"Saluri, Piret"</f>
        <v>Saluri, Piret</v>
      </c>
      <c r="K392" t="str">
        <f t="shared" si="39"/>
        <v>Eesti Raamat, Tallinn</v>
      </c>
      <c r="L392" t="str">
        <f>""</f>
        <v/>
      </c>
      <c r="M392" t="str">
        <f>"5-450-00776-0"</f>
        <v>5-450-00776-0</v>
      </c>
    </row>
    <row r="393" spans="1:13" ht="15">
      <c r="A393" t="s">
        <v>380</v>
      </c>
      <c r="B393" t="str">
        <f>"3700"</f>
        <v>3700</v>
      </c>
      <c r="C393" t="str">
        <f>""</f>
        <v/>
      </c>
      <c r="D393" t="str">
        <f>""</f>
        <v/>
      </c>
      <c r="E393" t="str">
        <f t="shared" si="36"/>
        <v>viro</v>
      </c>
      <c r="F393" t="str">
        <f>"luule, lüürika"</f>
        <v>luule, lüürika</v>
      </c>
      <c r="G393" t="str">
        <f>" lapsed ja noored"</f>
        <v xml:space="preserve"> lapsed ja noored</v>
      </c>
      <c r="H393" t="str">
        <f t="shared" si="40"/>
        <v>1989</v>
      </c>
      <c r="I393" t="str">
        <f>"Õnnelaps"</f>
        <v>Õnnelaps</v>
      </c>
      <c r="J393" t="str">
        <f>"Tungal, Leelo"</f>
        <v>Tungal, Leelo</v>
      </c>
      <c r="K393" t="str">
        <f t="shared" si="39"/>
        <v>Eesti Raamat, Tallinn</v>
      </c>
      <c r="L393" t="str">
        <f>""</f>
        <v/>
      </c>
      <c r="M393" t="str">
        <f>"5-450-00833-3"</f>
        <v>5-450-00833-3</v>
      </c>
    </row>
    <row r="394" spans="1:13" ht="15">
      <c r="A394" t="s">
        <v>436</v>
      </c>
      <c r="B394" t="str">
        <f>"2890"</f>
        <v>2890</v>
      </c>
      <c r="C394" t="str">
        <f>""</f>
        <v/>
      </c>
      <c r="D394" t="str">
        <f>""</f>
        <v/>
      </c>
      <c r="E394" t="str">
        <f t="shared" si="36"/>
        <v>viro</v>
      </c>
      <c r="F394" t="str">
        <f>"luule, lüürika"</f>
        <v>luule, lüürika</v>
      </c>
      <c r="G394" t="str">
        <f>"  täiskasvanud"</f>
        <v xml:space="preserve">  täiskasvanud</v>
      </c>
      <c r="H394" t="str">
        <f t="shared" si="40"/>
        <v>1989</v>
      </c>
      <c r="I394" t="str">
        <f>"Hämara tantsud"</f>
        <v>Hämara tantsud</v>
      </c>
      <c r="J394" t="str">
        <f>"Rummo, Paul-Eerik, Sang, Joel, Vaarandi, Debora"</f>
        <v>Rummo, Paul-Eerik, Sang, Joel, Vaarandi, Debora</v>
      </c>
      <c r="K394" t="str">
        <f t="shared" si="39"/>
        <v>Eesti Raamat, Tallinn</v>
      </c>
      <c r="L394" t="str">
        <f>""</f>
        <v/>
      </c>
      <c r="M394" t="str">
        <f>"5-450-00780-9"</f>
        <v>5-450-00780-9</v>
      </c>
    </row>
    <row r="395" spans="1:13" ht="15">
      <c r="A395" t="s">
        <v>489</v>
      </c>
      <c r="B395" t="str">
        <f>"2895"</f>
        <v>2895</v>
      </c>
      <c r="C395" t="str">
        <f>""</f>
        <v/>
      </c>
      <c r="D395" t="str">
        <f>""</f>
        <v/>
      </c>
      <c r="E395" t="str">
        <f t="shared" si="36"/>
        <v>viro</v>
      </c>
      <c r="F395" t="str">
        <f>"lühiproosa; romaanid; proosa"</f>
        <v>lühiproosa; romaanid; proosa</v>
      </c>
      <c r="G395" t="str">
        <f>"  täiskasvanud"</f>
        <v xml:space="preserve">  täiskasvanud</v>
      </c>
      <c r="H395" t="str">
        <f t="shared" si="40"/>
        <v>1989</v>
      </c>
      <c r="I395" t="str">
        <f>"Viimane suvi"</f>
        <v>Viimane suvi</v>
      </c>
      <c r="J395" t="str">
        <f>"Mallene, Endel"</f>
        <v>Mallene, Endel</v>
      </c>
      <c r="K395" t="str">
        <f t="shared" si="39"/>
        <v>Eesti Raamat, Tallinn</v>
      </c>
      <c r="L395" t="str">
        <f>""</f>
        <v/>
      </c>
      <c r="M395" t="str">
        <f>"5-450-00763-9"</f>
        <v>5-450-00763-9</v>
      </c>
    </row>
    <row r="396" spans="1:13" ht="15">
      <c r="A396" t="s">
        <v>512</v>
      </c>
      <c r="B396" t="str">
        <f>"2898"</f>
        <v>2898</v>
      </c>
      <c r="C396" t="str">
        <f>"1979"</f>
        <v>1979</v>
      </c>
      <c r="D396" t="str">
        <f>"Hiljainen kesä"</f>
        <v>Hiljainen kesä</v>
      </c>
      <c r="E396" t="str">
        <f t="shared" si="36"/>
        <v>viro</v>
      </c>
      <c r="F396" t="str">
        <f>"romaanid; proosa"</f>
        <v>romaanid; proosa</v>
      </c>
      <c r="G396" t="str">
        <f>"  täiskasvanud"</f>
        <v xml:space="preserve">  täiskasvanud</v>
      </c>
      <c r="H396" t="str">
        <f t="shared" si="40"/>
        <v>1989</v>
      </c>
      <c r="I396" t="str">
        <f>"Vaikne suvi"</f>
        <v>Vaikne suvi</v>
      </c>
      <c r="J396" t="str">
        <f>"Sirp, Luule"</f>
        <v>Sirp, Luule</v>
      </c>
      <c r="K396" t="str">
        <f t="shared" si="39"/>
        <v>Eesti Raamat, Tallinn</v>
      </c>
      <c r="L396" t="str">
        <f>""</f>
        <v/>
      </c>
      <c r="M396" t="str">
        <f>"5-450-00768-X"</f>
        <v>5-450-00768-X</v>
      </c>
    </row>
    <row r="397" spans="1:13" ht="15">
      <c r="A397" t="s">
        <v>531</v>
      </c>
      <c r="B397" t="str">
        <f>"2905"</f>
        <v>2905</v>
      </c>
      <c r="C397" t="str">
        <f>"1982"</f>
        <v>1982</v>
      </c>
      <c r="D397" t="str">
        <f>"Pohjanmaa"</f>
        <v>Pohjanmaa</v>
      </c>
      <c r="E397" t="str">
        <f t="shared" si="36"/>
        <v>viro</v>
      </c>
      <c r="F397" t="str">
        <f>"romaanid; proosa"</f>
        <v>romaanid; proosa</v>
      </c>
      <c r="G397" t="str">
        <f>"  täiskasvanud"</f>
        <v xml:space="preserve">  täiskasvanud</v>
      </c>
      <c r="H397" t="str">
        <f t="shared" si="40"/>
        <v>1989</v>
      </c>
      <c r="I397" t="str">
        <f>"Pohjanmaa"</f>
        <v>Pohjanmaa</v>
      </c>
      <c r="J397" t="str">
        <f>"Haljamaa, Ants"</f>
        <v>Haljamaa, Ants</v>
      </c>
      <c r="K397" t="str">
        <f t="shared" si="39"/>
        <v>Eesti Raamat, Tallinn</v>
      </c>
      <c r="L397" t="str">
        <f>""</f>
        <v/>
      </c>
      <c r="M397" t="str">
        <f>"5-450-00757-4"</f>
        <v>5-450-00757-4</v>
      </c>
    </row>
    <row r="398" spans="1:13" ht="15">
      <c r="A398" t="s">
        <v>571</v>
      </c>
      <c r="B398" t="str">
        <f>"3261"</f>
        <v>3261</v>
      </c>
      <c r="C398" t="str">
        <f>"1990"</f>
        <v>1990</v>
      </c>
      <c r="D398" t="str">
        <f>"Makuuhuoneet"</f>
        <v>Makuuhuoneet</v>
      </c>
      <c r="E398" t="str">
        <f t="shared" si="36"/>
        <v>viro</v>
      </c>
      <c r="F398" t="str">
        <f>"näidendid; draama"</f>
        <v>näidendid; draama</v>
      </c>
      <c r="G398" t="str">
        <f>"  täiskasvanud"</f>
        <v xml:space="preserve">  täiskasvanud</v>
      </c>
      <c r="H398" t="str">
        <f t="shared" si="40"/>
        <v>1989</v>
      </c>
      <c r="I398" t="str">
        <f>"Magamistoad"</f>
        <v>Magamistoad</v>
      </c>
      <c r="J398" t="str">
        <f>"Kuldsepp, Pirkko Kaarina, Kuldsepp, Toivo"</f>
        <v>Kuldsepp, Pirkko Kaarina, Kuldsepp, Toivo</v>
      </c>
      <c r="K398" t="str">
        <f>"Vanemuine, Tartu"</f>
        <v>Vanemuine, Tartu</v>
      </c>
      <c r="L398" t="str">
        <f>""</f>
        <v/>
      </c>
      <c r="M398" t="str">
        <f>""</f>
        <v/>
      </c>
    </row>
    <row r="399" spans="1:13" ht="15">
      <c r="A399" t="s">
        <v>31</v>
      </c>
      <c r="B399" t="str">
        <f>"2840"</f>
        <v>2840</v>
      </c>
      <c r="C399" t="str">
        <f>"1984"</f>
        <v>1984</v>
      </c>
      <c r="D399" t="str">
        <f>"Sommarpojken : roman"</f>
        <v>Sommarpojken : roman</v>
      </c>
      <c r="E399" t="str">
        <f t="shared" si="36"/>
        <v>viro</v>
      </c>
      <c r="F399" t="str">
        <f>"romaanid; proosa"</f>
        <v>romaanid; proosa</v>
      </c>
      <c r="G399" t="str">
        <f>"  täiskasvanud"</f>
        <v xml:space="preserve">  täiskasvanud</v>
      </c>
      <c r="H399" t="str">
        <f aca="true" t="shared" si="41" ref="H399:H409">"1990"</f>
        <v>1990</v>
      </c>
      <c r="I399" t="str">
        <f>"Suvepoiss"</f>
        <v>Suvepoiss</v>
      </c>
      <c r="J399" t="str">
        <f>"Ravel, Arnold"</f>
        <v>Ravel, Arnold</v>
      </c>
      <c r="K399" t="str">
        <f>"Eesti Raamat, Tallinn"</f>
        <v>Eesti Raamat, Tallinn</v>
      </c>
      <c r="L399" t="str">
        <f>""</f>
        <v/>
      </c>
      <c r="M399" t="str">
        <f>"5-450-01223-3"</f>
        <v>5-450-01223-3</v>
      </c>
    </row>
    <row r="400" spans="1:13" ht="15">
      <c r="A400" t="s">
        <v>40</v>
      </c>
      <c r="B400" t="str">
        <f>"2842"</f>
        <v>2842</v>
      </c>
      <c r="C400" t="str">
        <f>"1977"</f>
        <v>1977</v>
      </c>
      <c r="D400" t="str">
        <f>"Vandrande skugga : en småstadsberättelse"</f>
        <v>Vandrande skugga : en småstadsberättelse</v>
      </c>
      <c r="E400" t="str">
        <f t="shared" si="36"/>
        <v>viro</v>
      </c>
      <c r="F400" t="str">
        <f>"romaanid; proosa"</f>
        <v>romaanid; proosa</v>
      </c>
      <c r="G400" t="str">
        <f>"  täiskasvanud"</f>
        <v xml:space="preserve">  täiskasvanud</v>
      </c>
      <c r="H400" t="str">
        <f t="shared" si="41"/>
        <v>1990</v>
      </c>
      <c r="I400" t="str">
        <f>"Varjukõnd"</f>
        <v>Varjukõnd</v>
      </c>
      <c r="J400" t="str">
        <f>"Saluäär, Anu"</f>
        <v>Saluäär, Anu</v>
      </c>
      <c r="K400" t="str">
        <f>"Eesti Raamat, Tallinn"</f>
        <v>Eesti Raamat, Tallinn</v>
      </c>
      <c r="L400" t="str">
        <f>""</f>
        <v/>
      </c>
      <c r="M400" t="str">
        <f>"5-450-01224-1"</f>
        <v>5-450-01224-1</v>
      </c>
    </row>
    <row r="401" spans="1:13" ht="15">
      <c r="A401" t="s">
        <v>102</v>
      </c>
      <c r="B401" t="str">
        <f>"2850"</f>
        <v>2850</v>
      </c>
      <c r="C401" t="str">
        <f>"1961"</f>
        <v>1961</v>
      </c>
      <c r="D401" t="str">
        <f>"Karkuri"</f>
        <v>Karkuri</v>
      </c>
      <c r="E401" t="str">
        <f t="shared" si="36"/>
        <v>viro</v>
      </c>
      <c r="F401" t="str">
        <f>"romaanid; proosa"</f>
        <v>romaanid; proosa</v>
      </c>
      <c r="G401" t="str">
        <f>"  täiskasvanud"</f>
        <v xml:space="preserve">  täiskasvanud</v>
      </c>
      <c r="H401" t="str">
        <f t="shared" si="41"/>
        <v>1990</v>
      </c>
      <c r="I401" t="str">
        <f>"Väejooksik"</f>
        <v>Väejooksik</v>
      </c>
      <c r="J401" t="str">
        <f>"Paikre, Ants"</f>
        <v>Paikre, Ants</v>
      </c>
      <c r="K401" t="str">
        <f>"Eesti Raamat, Tallinn"</f>
        <v>Eesti Raamat, Tallinn</v>
      </c>
      <c r="L401" t="str">
        <f>""</f>
        <v/>
      </c>
      <c r="M401" t="str">
        <f>"5-450-01262-4"</f>
        <v>5-450-01262-4</v>
      </c>
    </row>
    <row r="402" spans="1:13" ht="15">
      <c r="A402" t="s">
        <v>115</v>
      </c>
      <c r="B402" t="str">
        <f>"2852"</f>
        <v>2852</v>
      </c>
      <c r="C402" t="str">
        <f>"1983"</f>
        <v>1983</v>
      </c>
      <c r="D402" t="str">
        <f>"Hotelli eläville"</f>
        <v>Hotelli eläville</v>
      </c>
      <c r="E402" t="str">
        <f t="shared" si="36"/>
        <v>viro</v>
      </c>
      <c r="F402" t="str">
        <f>"romaanid; proosa"</f>
        <v>romaanid; proosa</v>
      </c>
      <c r="G402" t="str">
        <f>"  täiskasvanud"</f>
        <v xml:space="preserve">  täiskasvanud</v>
      </c>
      <c r="H402" t="str">
        <f t="shared" si="41"/>
        <v>1990</v>
      </c>
      <c r="I402" t="str">
        <f>"Hotell elavatele"</f>
        <v>Hotell elavatele</v>
      </c>
      <c r="J402" t="str">
        <f>"Saluri, Piret"</f>
        <v>Saluri, Piret</v>
      </c>
      <c r="K402" t="str">
        <f>"Perioodika, Tallinn"</f>
        <v>Perioodika, Tallinn</v>
      </c>
      <c r="L402" t="str">
        <f>""</f>
        <v/>
      </c>
      <c r="M402" t="str">
        <f>""</f>
        <v/>
      </c>
    </row>
    <row r="403" spans="1:13" ht="15">
      <c r="A403" t="s">
        <v>185</v>
      </c>
      <c r="B403" t="str">
        <f>"3254"</f>
        <v>3254</v>
      </c>
      <c r="C403" t="str">
        <f>"1864"</f>
        <v>1864</v>
      </c>
      <c r="D403" t="str">
        <f>"Kullervo"</f>
        <v>Kullervo</v>
      </c>
      <c r="E403" t="str">
        <f t="shared" si="36"/>
        <v>viro</v>
      </c>
      <c r="F403" t="str">
        <f>"näidendid; draama"</f>
        <v>näidendid; draama</v>
      </c>
      <c r="G403" t="str">
        <f>"  täiskasvanud"</f>
        <v xml:space="preserve">  täiskasvanud</v>
      </c>
      <c r="H403" t="str">
        <f t="shared" si="41"/>
        <v>1990</v>
      </c>
      <c r="I403" t="str">
        <f>"Kullervo"</f>
        <v>Kullervo</v>
      </c>
      <c r="J403" t="str">
        <f>"Laugaste, Gerda"</f>
        <v>Laugaste, Gerda</v>
      </c>
      <c r="K403" t="str">
        <f>"Eesti Raamat, Tallinn"</f>
        <v>Eesti Raamat, Tallinn</v>
      </c>
      <c r="L403" t="str">
        <f>""</f>
        <v/>
      </c>
      <c r="M403" t="str">
        <f>"5450007345"</f>
        <v>5450007345</v>
      </c>
    </row>
    <row r="404" spans="1:13" ht="15">
      <c r="A404" t="s">
        <v>217</v>
      </c>
      <c r="B404" t="str">
        <f>"3697"</f>
        <v>3697</v>
      </c>
      <c r="C404" t="str">
        <f>"1987"</f>
        <v>1987</v>
      </c>
      <c r="D404" t="str">
        <f>"12 lahjaa joulupukille"</f>
        <v>12 lahjaa joulupukille</v>
      </c>
      <c r="E404" t="str">
        <f t="shared" si="36"/>
        <v>viro</v>
      </c>
      <c r="F404" t="str">
        <f>"pildiraamatud"</f>
        <v>pildiraamatud</v>
      </c>
      <c r="G404" t="str">
        <f>" lapsed ja noored"</f>
        <v xml:space="preserve"> lapsed ja noored</v>
      </c>
      <c r="H404" t="str">
        <f t="shared" si="41"/>
        <v>1990</v>
      </c>
      <c r="I404" t="str">
        <f>"12 kinki Jõuluvanale"</f>
        <v>12 kinki Jõuluvanale</v>
      </c>
      <c r="J404" t="str">
        <f>"Karu, Anne"</f>
        <v>Karu, Anne</v>
      </c>
      <c r="K404" t="str">
        <f>"Eesti Raamat, Tallinn"</f>
        <v>Eesti Raamat, Tallinn</v>
      </c>
      <c r="L404" t="str">
        <f>""</f>
        <v/>
      </c>
      <c r="M404" t="str">
        <f>"5-450-01044-3"</f>
        <v>5-450-01044-3</v>
      </c>
    </row>
    <row r="405" spans="1:13" ht="15">
      <c r="A405" t="s">
        <v>217</v>
      </c>
      <c r="B405" t="str">
        <f>"3698"</f>
        <v>3698</v>
      </c>
      <c r="C405" t="str">
        <f>"1981"</f>
        <v>1981</v>
      </c>
      <c r="D405" t="str">
        <f>"Joulupukki"</f>
        <v>Joulupukki</v>
      </c>
      <c r="E405" t="str">
        <f t="shared" si="36"/>
        <v>viro</v>
      </c>
      <c r="F405" t="str">
        <f>"pildiraamatud"</f>
        <v>pildiraamatud</v>
      </c>
      <c r="G405" t="str">
        <f>" lapsed ja noored"</f>
        <v xml:space="preserve"> lapsed ja noored</v>
      </c>
      <c r="H405" t="str">
        <f t="shared" si="41"/>
        <v>1990</v>
      </c>
      <c r="I405" t="str">
        <f>"Jõuluvana"</f>
        <v>Jõuluvana</v>
      </c>
      <c r="J405" t="str">
        <f>"Karu, Anne"</f>
        <v>Karu, Anne</v>
      </c>
      <c r="K405" t="str">
        <f>"Eesti Raamat, Tallinn"</f>
        <v>Eesti Raamat, Tallinn</v>
      </c>
      <c r="L405" t="str">
        <f>""</f>
        <v/>
      </c>
      <c r="M405" t="str">
        <f>"5-450-01045-1"</f>
        <v>5-450-01045-1</v>
      </c>
    </row>
    <row r="406" spans="1:13" ht="15">
      <c r="A406" t="s">
        <v>219</v>
      </c>
      <c r="B406" t="str">
        <f>"3698"</f>
        <v>3698</v>
      </c>
      <c r="C406" t="str">
        <f>"1981"</f>
        <v>1981</v>
      </c>
      <c r="D406" t="str">
        <f>"Joulupukki"</f>
        <v>Joulupukki</v>
      </c>
      <c r="E406" t="str">
        <f t="shared" si="36"/>
        <v>viro</v>
      </c>
      <c r="F406" t="str">
        <f>"pildiraamatud"</f>
        <v>pildiraamatud</v>
      </c>
      <c r="G406" t="str">
        <f>" lapsed ja noored"</f>
        <v xml:space="preserve"> lapsed ja noored</v>
      </c>
      <c r="H406" t="str">
        <f t="shared" si="41"/>
        <v>1990</v>
      </c>
      <c r="I406" t="str">
        <f>"Jõuluvana"</f>
        <v>Jõuluvana</v>
      </c>
      <c r="J406" t="str">
        <f>"Karu, Anne"</f>
        <v>Karu, Anne</v>
      </c>
      <c r="K406" t="str">
        <f>"Eesti Raamat, Tallinn"</f>
        <v>Eesti Raamat, Tallinn</v>
      </c>
      <c r="L406" t="str">
        <f>""</f>
        <v/>
      </c>
      <c r="M406" t="str">
        <f>"5-450-01045-1"</f>
        <v>5-450-01045-1</v>
      </c>
    </row>
    <row r="407" spans="1:13" ht="15">
      <c r="A407" t="s">
        <v>531</v>
      </c>
      <c r="B407" t="str">
        <f>"2906"</f>
        <v>2906</v>
      </c>
      <c r="C407" t="str">
        <f>"1984"</f>
        <v>1984</v>
      </c>
      <c r="D407" t="str">
        <f>"Talvisota"</f>
        <v>Talvisota</v>
      </c>
      <c r="E407" t="str">
        <f t="shared" si="36"/>
        <v>viro</v>
      </c>
      <c r="F407" t="str">
        <f>"romaanid; proosa"</f>
        <v>romaanid; proosa</v>
      </c>
      <c r="G407" t="str">
        <f>"  täiskasvanud"</f>
        <v xml:space="preserve">  täiskasvanud</v>
      </c>
      <c r="H407" t="str">
        <f t="shared" si="41"/>
        <v>1990</v>
      </c>
      <c r="I407" t="str">
        <f>"Talvesõda"</f>
        <v>Talvesõda</v>
      </c>
      <c r="J407" t="str">
        <f>"Haljamaa, Ants"</f>
        <v>Haljamaa, Ants</v>
      </c>
      <c r="K407" t="str">
        <f>"Eesti Raamat, Tallinn"</f>
        <v>Eesti Raamat, Tallinn</v>
      </c>
      <c r="L407" t="str">
        <f>""</f>
        <v/>
      </c>
      <c r="M407" t="str">
        <f>"5-450-01268-3"</f>
        <v>5-450-01268-3</v>
      </c>
    </row>
    <row r="408" spans="1:13" ht="15">
      <c r="A408" t="s">
        <v>563</v>
      </c>
      <c r="B408" t="str">
        <f>"14970"</f>
        <v>14970</v>
      </c>
      <c r="C408" t="str">
        <f>"1949"</f>
        <v>1949</v>
      </c>
      <c r="D408" t="str">
        <f>"Mikael Hakim"</f>
        <v>Mikael Hakim</v>
      </c>
      <c r="E408" t="str">
        <f t="shared" si="36"/>
        <v>viro</v>
      </c>
      <c r="F408" t="str">
        <f>"romaanid; proosa"</f>
        <v>romaanid; proosa</v>
      </c>
      <c r="G408" t="str">
        <f>"  täiskasvanud"</f>
        <v xml:space="preserve">  täiskasvanud</v>
      </c>
      <c r="H408" t="str">
        <f t="shared" si="41"/>
        <v>1990</v>
      </c>
      <c r="I408" t="str">
        <f>"Mikael Hakim. 1-2"</f>
        <v>Mikael Hakim. 1-2</v>
      </c>
      <c r="J408" t="str">
        <f>"Puumets, Kaire"</f>
        <v>Puumets, Kaire</v>
      </c>
      <c r="K408" t="str">
        <f>"Perioodika, Tallinn"</f>
        <v>Perioodika, Tallinn</v>
      </c>
      <c r="L408" t="str">
        <f>""</f>
        <v/>
      </c>
      <c r="M408" t="str">
        <f>"5797903350"</f>
        <v>5797903350</v>
      </c>
    </row>
    <row r="409" spans="1:13" ht="15">
      <c r="A409" t="s">
        <v>563</v>
      </c>
      <c r="B409" t="str">
        <f>"10296"</f>
        <v>10296</v>
      </c>
      <c r="C409" t="str">
        <f>"1961"</f>
        <v>1961</v>
      </c>
      <c r="D409" t="str">
        <f>"Sellaista ei tapahdu"</f>
        <v>Sellaista ei tapahdu</v>
      </c>
      <c r="E409" t="str">
        <f t="shared" si="36"/>
        <v>viro</v>
      </c>
      <c r="F409" t="str">
        <f>"romaanid; proosa"</f>
        <v>romaanid; proosa</v>
      </c>
      <c r="G409" t="str">
        <f>"  täiskasvanud"</f>
        <v xml:space="preserve">  täiskasvanud</v>
      </c>
      <c r="H409" t="str">
        <f t="shared" si="41"/>
        <v>1990</v>
      </c>
      <c r="I409" t="str">
        <f>"Midagi sellist ei juhtu"</f>
        <v>Midagi sellist ei juhtu</v>
      </c>
      <c r="J409" t="str">
        <f>"Puumets, Kaire"</f>
        <v>Puumets, Kaire</v>
      </c>
      <c r="K409" t="str">
        <f>"Katherine, Tallinn"</f>
        <v>Katherine, Tallinn</v>
      </c>
      <c r="L409" t="str">
        <f>""</f>
        <v/>
      </c>
      <c r="M409" t="str">
        <f>""</f>
        <v/>
      </c>
    </row>
    <row r="410" spans="2:13" ht="15">
      <c r="B410" t="str">
        <f>"3337"</f>
        <v>3337</v>
      </c>
      <c r="C410" t="str">
        <f>""</f>
        <v/>
      </c>
      <c r="D410" t="str">
        <f>""</f>
        <v/>
      </c>
      <c r="E410" t="str">
        <f t="shared" si="36"/>
        <v>viro</v>
      </c>
      <c r="F410" t="str">
        <f>"luule, lüürika"</f>
        <v>luule, lüürika</v>
      </c>
      <c r="G410" t="str">
        <f>"  täiskasvanud"</f>
        <v xml:space="preserve">  täiskasvanud</v>
      </c>
      <c r="H410" t="str">
        <f aca="true" t="shared" si="42" ref="H410:H415">"1991"</f>
        <v>1991</v>
      </c>
      <c r="I410" t="str">
        <f>"Kümme nüüdissoome luuletajat"</f>
        <v>Kümme nüüdissoome luuletajat</v>
      </c>
      <c r="J410" t="str">
        <f>"Rummo, Paul-Eerik"</f>
        <v>Rummo, Paul-Eerik</v>
      </c>
      <c r="K410" t="str">
        <f>"Eesti Raamat, Tallinn"</f>
        <v>Eesti Raamat, Tallinn</v>
      </c>
      <c r="L410" t="str">
        <f>""</f>
        <v/>
      </c>
      <c r="M410" t="str">
        <f>"5-450-01232-2"</f>
        <v>5-450-01232-2</v>
      </c>
    </row>
    <row r="411" spans="1:13" ht="15">
      <c r="A411" t="s">
        <v>257</v>
      </c>
      <c r="B411" t="str">
        <f>"3836"</f>
        <v>3836</v>
      </c>
      <c r="C411" t="str">
        <f>"1989"</f>
        <v>1989</v>
      </c>
      <c r="D411" t="str">
        <f>"Mene ja kerro"</f>
        <v>Mene ja kerro</v>
      </c>
      <c r="E411" t="str">
        <f t="shared" si="36"/>
        <v>viro</v>
      </c>
      <c r="F411" t="str">
        <f>""</f>
        <v/>
      </c>
      <c r="G411" t="str">
        <f>"  täiskasvanud"</f>
        <v xml:space="preserve">  täiskasvanud</v>
      </c>
      <c r="H411" t="str">
        <f t="shared" si="42"/>
        <v>1991</v>
      </c>
      <c r="I411" t="str">
        <f>"Mine ja kuuluta"</f>
        <v>Mine ja kuuluta</v>
      </c>
      <c r="J411" t="str">
        <f>"Teppe, Ants"</f>
        <v>Teppe, Ants</v>
      </c>
      <c r="K411" t="str">
        <f>"Kirjaneliö, Helsinki"</f>
        <v>Kirjaneliö, Helsinki</v>
      </c>
      <c r="L411" t="str">
        <f>""</f>
        <v/>
      </c>
      <c r="M411" t="str">
        <f>"951-600-815-1"</f>
        <v>951-600-815-1</v>
      </c>
    </row>
    <row r="412" spans="1:13" ht="15">
      <c r="A412" t="s">
        <v>321</v>
      </c>
      <c r="B412" t="str">
        <f>"2875"</f>
        <v>2875</v>
      </c>
      <c r="C412" t="str">
        <f>""</f>
        <v/>
      </c>
      <c r="D412" t="str">
        <f>""</f>
        <v/>
      </c>
      <c r="E412" t="str">
        <f t="shared" si="36"/>
        <v>viro</v>
      </c>
      <c r="F412" t="str">
        <f>"luule, lüürika"</f>
        <v>luule, lüürika</v>
      </c>
      <c r="G412" t="str">
        <f>"  täiskasvanud"</f>
        <v xml:space="preserve">  täiskasvanud</v>
      </c>
      <c r="H412" t="str">
        <f t="shared" si="42"/>
        <v>1991</v>
      </c>
      <c r="I412" t="str">
        <f>"Ööpool, päevapool"</f>
        <v>Ööpool, päevapool</v>
      </c>
      <c r="J412" t="str">
        <f>"Kokla, Tiiu"</f>
        <v>Kokla, Tiiu</v>
      </c>
      <c r="K412" t="str">
        <f>"Eesti Raamat, Tallinn"</f>
        <v>Eesti Raamat, Tallinn</v>
      </c>
      <c r="L412" t="str">
        <f>""</f>
        <v/>
      </c>
      <c r="M412" t="str">
        <f>"5-450-01283-7"</f>
        <v>5-450-01283-7</v>
      </c>
    </row>
    <row r="413" spans="1:13" ht="15">
      <c r="A413" t="s">
        <v>514</v>
      </c>
      <c r="B413" t="str">
        <f>"2899"</f>
        <v>2899</v>
      </c>
      <c r="C413" t="str">
        <f>"1986"</f>
        <v>1986</v>
      </c>
      <c r="D413" t="str">
        <f>"Rödluvan"</f>
        <v>Rödluvan</v>
      </c>
      <c r="E413" t="str">
        <f t="shared" si="36"/>
        <v>viro</v>
      </c>
      <c r="F413" t="str">
        <f>"romaanid; proosa"</f>
        <v>romaanid; proosa</v>
      </c>
      <c r="G413" t="str">
        <f>"  täiskasvanud"</f>
        <v xml:space="preserve">  täiskasvanud</v>
      </c>
      <c r="H413" t="str">
        <f t="shared" si="42"/>
        <v>1991</v>
      </c>
      <c r="I413" t="str">
        <f>"Punamütsike"</f>
        <v>Punamütsike</v>
      </c>
      <c r="J413" t="str">
        <f>"Aaloe, Ülev"</f>
        <v>Aaloe, Ülev</v>
      </c>
      <c r="K413" t="str">
        <f>"Eesti Raamat, Tallinn"</f>
        <v>Eesti Raamat, Tallinn</v>
      </c>
      <c r="L413" t="str">
        <f>""</f>
        <v/>
      </c>
      <c r="M413" t="str">
        <f>"5-450-01222-5"</f>
        <v>5-450-01222-5</v>
      </c>
    </row>
    <row r="414" spans="1:13" ht="15">
      <c r="A414" t="s">
        <v>563</v>
      </c>
      <c r="B414" t="str">
        <f>"6775"</f>
        <v>6775</v>
      </c>
      <c r="C414" t="str">
        <f>"1945"</f>
        <v>1945</v>
      </c>
      <c r="D414" t="str">
        <f>"Sinuhe egyptiläinen"</f>
        <v>Sinuhe egyptiläinen</v>
      </c>
      <c r="E414" t="str">
        <f t="shared" si="36"/>
        <v>viro</v>
      </c>
      <c r="F414" t="str">
        <f>"romaanid; proosa"</f>
        <v>romaanid; proosa</v>
      </c>
      <c r="G414" t="str">
        <f>"  täiskasvanud"</f>
        <v xml:space="preserve">  täiskasvanud</v>
      </c>
      <c r="H414" t="str">
        <f t="shared" si="42"/>
        <v>1991</v>
      </c>
      <c r="I414" t="str">
        <f>"Sinuhe"</f>
        <v>Sinuhe</v>
      </c>
      <c r="J414" t="str">
        <f>"Aavik, Johannes"</f>
        <v>Aavik, Johannes</v>
      </c>
      <c r="K414" t="str">
        <f>"Eesti Raamat, Tallinn"</f>
        <v>Eesti Raamat, Tallinn</v>
      </c>
      <c r="L414" t="str">
        <f>"2. p."</f>
        <v>2. p.</v>
      </c>
      <c r="M414" t="str">
        <f>"5450018010"</f>
        <v>5450018010</v>
      </c>
    </row>
    <row r="415" spans="1:13" ht="15">
      <c r="A415" t="s">
        <v>572</v>
      </c>
      <c r="B415" t="str">
        <f>"4463"</f>
        <v>4463</v>
      </c>
      <c r="C415" t="str">
        <f>"1995"</f>
        <v>1995</v>
      </c>
      <c r="D415" t="str">
        <f>"Itsenäisen Suomen historia"</f>
        <v>Itsenäisen Suomen historia</v>
      </c>
      <c r="E415" t="str">
        <f t="shared" si="36"/>
        <v>viro</v>
      </c>
      <c r="F415" t="str">
        <f>""</f>
        <v/>
      </c>
      <c r="G415" t="str">
        <f>"  täiskasvanud"</f>
        <v xml:space="preserve">  täiskasvanud</v>
      </c>
      <c r="H415" t="str">
        <f t="shared" si="42"/>
        <v>1991</v>
      </c>
      <c r="I415" t="str">
        <f>"Iseseisva Soome ajalugu"</f>
        <v>Iseseisva Soome ajalugu</v>
      </c>
      <c r="J415" t="str">
        <f>"Puusepp, Ants"</f>
        <v>Puusepp, Ants</v>
      </c>
      <c r="K415" t="str">
        <f>"Perioodika, Tallinn"</f>
        <v>Perioodika, Tallinn</v>
      </c>
      <c r="L415" t="str">
        <f>""</f>
        <v/>
      </c>
      <c r="M415" t="str">
        <f>"5-7979-0556-6"</f>
        <v>5-7979-0556-6</v>
      </c>
    </row>
    <row r="416" spans="1:13" ht="15">
      <c r="A416" t="s">
        <v>106</v>
      </c>
      <c r="B416" t="str">
        <f>"2851"</f>
        <v>2851</v>
      </c>
      <c r="C416" t="str">
        <f>"1989"</f>
        <v>1989</v>
      </c>
      <c r="D416" t="str">
        <f>"Kirjeitä Trinidadiin"</f>
        <v>Kirjeitä Trinidadiin</v>
      </c>
      <c r="E416" t="str">
        <f t="shared" si="36"/>
        <v>viro</v>
      </c>
      <c r="F416" t="str">
        <f>"romaanid; proosa"</f>
        <v>romaanid; proosa</v>
      </c>
      <c r="G416" t="str">
        <f>"  täiskasvanud"</f>
        <v xml:space="preserve">  täiskasvanud</v>
      </c>
      <c r="H416" t="str">
        <f aca="true" t="shared" si="43" ref="H416:H421">"1992"</f>
        <v>1992</v>
      </c>
      <c r="I416" t="str">
        <f>"Kirjad Trinidadi"</f>
        <v>Kirjad Trinidadi</v>
      </c>
      <c r="J416" t="str">
        <f>"Mallene, Endel"</f>
        <v>Mallene, Endel</v>
      </c>
      <c r="K416" t="str">
        <f>"Perioodika, Tallinn"</f>
        <v>Perioodika, Tallinn</v>
      </c>
      <c r="L416" t="str">
        <f>""</f>
        <v/>
      </c>
      <c r="M416" t="str">
        <f>""</f>
        <v/>
      </c>
    </row>
    <row r="417" spans="1:13" ht="15">
      <c r="A417" t="s">
        <v>162</v>
      </c>
      <c r="B417" t="str">
        <f>"2862"</f>
        <v>2862</v>
      </c>
      <c r="C417" t="str">
        <f>"1969"</f>
        <v>1969</v>
      </c>
      <c r="D417" t="str">
        <f>"Kun isoisä Suomeen hiihti"</f>
        <v>Kun isoisä Suomeen hiihti</v>
      </c>
      <c r="E417" t="str">
        <f t="shared" si="36"/>
        <v>viro</v>
      </c>
      <c r="F417" t="str">
        <f>"romaanid; proosa"</f>
        <v>romaanid; proosa</v>
      </c>
      <c r="G417" t="str">
        <f>"  täiskasvanud"</f>
        <v xml:space="preserve">  täiskasvanud</v>
      </c>
      <c r="H417" t="str">
        <f t="shared" si="43"/>
        <v>1992</v>
      </c>
      <c r="I417" t="str">
        <f>"Kui vanaisa Soome suusatas"</f>
        <v>Kui vanaisa Soome suusatas</v>
      </c>
      <c r="J417" t="str">
        <f>"Mallene, Endel"</f>
        <v>Mallene, Endel</v>
      </c>
      <c r="K417" t="str">
        <f>"Perioodika, Tallinn"</f>
        <v>Perioodika, Tallinn</v>
      </c>
      <c r="L417" t="str">
        <f>""</f>
        <v/>
      </c>
      <c r="M417" t="str">
        <f>""</f>
        <v/>
      </c>
    </row>
    <row r="418" spans="1:13" ht="15">
      <c r="A418" t="s">
        <v>188</v>
      </c>
      <c r="B418" t="str">
        <f>"4216"</f>
        <v>4216</v>
      </c>
      <c r="C418" t="str">
        <f>"1981"</f>
        <v>1981</v>
      </c>
      <c r="D418" t="str">
        <f>"Katsaus Suomen historiaan"</f>
        <v>Katsaus Suomen historiaan</v>
      </c>
      <c r="E418" t="str">
        <f t="shared" si="36"/>
        <v>viro</v>
      </c>
      <c r="F418" t="str">
        <f>""</f>
        <v/>
      </c>
      <c r="G418" t="str">
        <f>"  täiskasvanud"</f>
        <v xml:space="preserve">  täiskasvanud</v>
      </c>
      <c r="H418" t="str">
        <f t="shared" si="43"/>
        <v>1992</v>
      </c>
      <c r="I418" t="str">
        <f>"Soome lühiajalugu"</f>
        <v>Soome lühiajalugu</v>
      </c>
      <c r="J418" t="str">
        <f>"Saluri, Piret"</f>
        <v>Saluri, Piret</v>
      </c>
      <c r="K418" t="str">
        <f>"Mats, Tallinn"</f>
        <v>Mats, Tallinn</v>
      </c>
      <c r="L418" t="str">
        <f>""</f>
        <v/>
      </c>
      <c r="M418" t="str">
        <f>"951-1-11826-9"</f>
        <v>951-1-11826-9</v>
      </c>
    </row>
    <row r="419" spans="1:13" ht="15">
      <c r="A419" t="s">
        <v>208</v>
      </c>
      <c r="B419" t="str">
        <f>"5654"</f>
        <v>5654</v>
      </c>
      <c r="C419" t="str">
        <f>"1986"</f>
        <v>1986</v>
      </c>
      <c r="D419" t="str">
        <f>"Beatles : erään yhtyeen anatomia"</f>
        <v>Beatles : erään yhtyeen anatomia</v>
      </c>
      <c r="E419" t="str">
        <f t="shared" si="36"/>
        <v>viro</v>
      </c>
      <c r="F419" t="str">
        <f>""</f>
        <v/>
      </c>
      <c r="G419" t="str">
        <f>"  täiskasvanud"</f>
        <v xml:space="preserve">  täiskasvanud</v>
      </c>
      <c r="H419" t="str">
        <f t="shared" si="43"/>
        <v>1992</v>
      </c>
      <c r="I419" t="str">
        <f>"Beatles"</f>
        <v>Beatles</v>
      </c>
      <c r="J419" t="str">
        <f>"Salumets, Vello"</f>
        <v>Salumets, Vello</v>
      </c>
      <c r="K419" t="str">
        <f>"Eesti Raamat, Tallinn"</f>
        <v>Eesti Raamat, Tallinn</v>
      </c>
      <c r="L419" t="str">
        <f>""</f>
        <v/>
      </c>
      <c r="M419" t="str">
        <f>"5-450-01642-5"</f>
        <v>5-450-01642-5</v>
      </c>
    </row>
    <row r="420" spans="1:13" ht="15">
      <c r="A420" t="s">
        <v>361</v>
      </c>
      <c r="B420" t="str">
        <f>"2883"</f>
        <v>2883</v>
      </c>
      <c r="C420" t="str">
        <f>"1990"</f>
        <v>1990</v>
      </c>
      <c r="D420" t="str">
        <f>"Tapahtui kesäsaaressa"</f>
        <v>Tapahtui kesäsaaressa</v>
      </c>
      <c r="E420" t="str">
        <f t="shared" si="36"/>
        <v>viro</v>
      </c>
      <c r="F420" t="str">
        <f>"proosa"</f>
        <v>proosa</v>
      </c>
      <c r="G420" t="str">
        <f>" lapsed ja noored"</f>
        <v xml:space="preserve"> lapsed ja noored</v>
      </c>
      <c r="H420" t="str">
        <f t="shared" si="43"/>
        <v>1992</v>
      </c>
      <c r="I420" t="str">
        <f>"Suvesaare lood"</f>
        <v>Suvesaare lood</v>
      </c>
      <c r="J420" t="str">
        <f>"Mihkels, Andres"</f>
        <v>Mihkels, Andres</v>
      </c>
      <c r="K420" t="str">
        <f>"Forest, Tallinn"</f>
        <v>Forest, Tallinn</v>
      </c>
      <c r="L420" t="str">
        <f>""</f>
        <v/>
      </c>
      <c r="M420" t="str">
        <f>""</f>
        <v/>
      </c>
    </row>
    <row r="421" spans="1:13" ht="15">
      <c r="A421" t="s">
        <v>541</v>
      </c>
      <c r="B421" t="str">
        <f>"10299"</f>
        <v>10299</v>
      </c>
      <c r="C421" t="str">
        <f>"1937"</f>
        <v>1937</v>
      </c>
      <c r="D421" t="str">
        <f>"Nykyhetken tyttölapsi"</f>
        <v>Nykyhetken tyttölapsi</v>
      </c>
      <c r="E421" t="str">
        <f t="shared" si="36"/>
        <v>viro</v>
      </c>
      <c r="F421" t="str">
        <f>"romaanid; proosa"</f>
        <v>romaanid; proosa</v>
      </c>
      <c r="G421" t="str">
        <f>"  täiskasvanud"</f>
        <v xml:space="preserve">  täiskasvanud</v>
      </c>
      <c r="H421" t="str">
        <f t="shared" si="43"/>
        <v>1992</v>
      </c>
      <c r="I421" t="str">
        <f>"Tänapäeva tütarlaps"</f>
        <v>Tänapäeva tütarlaps</v>
      </c>
      <c r="J421" t="str">
        <f>"Seim, Leena"</f>
        <v>Seim, Leena</v>
      </c>
      <c r="K421" t="str">
        <f>"Monokkel, Tallinn"</f>
        <v>Monokkel, Tallinn</v>
      </c>
      <c r="L421" t="str">
        <f>""</f>
        <v/>
      </c>
      <c r="M421" t="str">
        <f>""</f>
        <v/>
      </c>
    </row>
    <row r="422" spans="1:13" ht="15">
      <c r="A422" t="s">
        <v>92</v>
      </c>
      <c r="B422" t="str">
        <f>"2848"</f>
        <v>2848</v>
      </c>
      <c r="C422" t="str">
        <f>"1988"</f>
        <v>1988</v>
      </c>
      <c r="D422" t="str">
        <f>"Joe-setä"</f>
        <v>Joe-setä</v>
      </c>
      <c r="E422" t="str">
        <f t="shared" si="36"/>
        <v>viro</v>
      </c>
      <c r="F422" t="str">
        <f>"romaanid; proosa"</f>
        <v>romaanid; proosa</v>
      </c>
      <c r="G422" t="str">
        <f>"  täiskasvanud"</f>
        <v xml:space="preserve">  täiskasvanud</v>
      </c>
      <c r="H422" t="str">
        <f aca="true" t="shared" si="44" ref="H422:H431">"1993"</f>
        <v>1993</v>
      </c>
      <c r="I422" t="str">
        <f>"Onu Joss"</f>
        <v>Onu Joss</v>
      </c>
      <c r="J422" t="str">
        <f>"Kokla, Tiiu"</f>
        <v>Kokla, Tiiu</v>
      </c>
      <c r="K422" t="str">
        <f>"Koolibri, Tallinn"</f>
        <v>Koolibri, Tallinn</v>
      </c>
      <c r="L422" t="str">
        <f>""</f>
        <v/>
      </c>
      <c r="M422" t="str">
        <f>"9985-0-0036-6"</f>
        <v>9985-0-0036-6</v>
      </c>
    </row>
    <row r="423" spans="1:13" ht="15">
      <c r="A423" t="s">
        <v>113</v>
      </c>
      <c r="B423" t="str">
        <f>"4437"</f>
        <v>4437</v>
      </c>
      <c r="C423" t="str">
        <f>"1911"</f>
        <v>1911</v>
      </c>
      <c r="D423" t="str">
        <f>"Viipurin pamaus"</f>
        <v>Viipurin pamaus</v>
      </c>
      <c r="E423" t="str">
        <f t="shared" si="36"/>
        <v>viro</v>
      </c>
      <c r="F423" t="str">
        <f>"romaanid; proosa"</f>
        <v>romaanid; proosa</v>
      </c>
      <c r="G423" t="str">
        <f>"  täiskasvanud"</f>
        <v xml:space="preserve">  täiskasvanud</v>
      </c>
      <c r="H423" t="str">
        <f t="shared" si="44"/>
        <v>1993</v>
      </c>
      <c r="I423" t="str">
        <f>"Viiburi plahvatus"</f>
        <v>Viiburi plahvatus</v>
      </c>
      <c r="J423" t="str">
        <f>"Murd, E."</f>
        <v>Murd, E.</v>
      </c>
      <c r="K423" t="str">
        <f>"Perioodika, Tallinn"</f>
        <v>Perioodika, Tallinn</v>
      </c>
      <c r="L423" t="str">
        <f>"3. p."</f>
        <v>3. p.</v>
      </c>
      <c r="M423" t="str">
        <f>"5-7979-0502 (virh.)"</f>
        <v>5-7979-0502 (virh.)</v>
      </c>
    </row>
    <row r="424" spans="1:13" ht="15">
      <c r="A424" t="s">
        <v>147</v>
      </c>
      <c r="B424" t="str">
        <f>"10160"</f>
        <v>10160</v>
      </c>
      <c r="C424" t="str">
        <f>"1954"</f>
        <v>1954</v>
      </c>
      <c r="D424" t="str">
        <f>"Päiväkirja vuosilta 1916-1921"</f>
        <v>Päiväkirja vuosilta 1916-1921</v>
      </c>
      <c r="E424" t="str">
        <f t="shared" si="36"/>
        <v>viro</v>
      </c>
      <c r="F424" t="str">
        <f>""</f>
        <v/>
      </c>
      <c r="G424" t="str">
        <f>"  täiskasvanud"</f>
        <v xml:space="preserve">  täiskasvanud</v>
      </c>
      <c r="H424" t="str">
        <f t="shared" si="44"/>
        <v>1993</v>
      </c>
      <c r="I424" t="str">
        <f>"Hingesild"</f>
        <v>Hingesild</v>
      </c>
      <c r="J424" t="str">
        <f>"Eller, Helmi"</f>
        <v>Eller, Helmi</v>
      </c>
      <c r="K424" t="str">
        <f>"Eesti Raamat, Tallinn"</f>
        <v>Eesti Raamat, Tallinn</v>
      </c>
      <c r="L424" t="str">
        <f>""</f>
        <v/>
      </c>
      <c r="M424" t="str">
        <f>"5450016794"</f>
        <v>5450016794</v>
      </c>
    </row>
    <row r="425" spans="1:13" ht="15">
      <c r="A425" t="s">
        <v>357</v>
      </c>
      <c r="B425" t="str">
        <f>"2881"</f>
        <v>2881</v>
      </c>
      <c r="C425" t="str">
        <f>""</f>
        <v/>
      </c>
      <c r="D425" t="str">
        <f>"Alamaisten elämää ; Kansan palvelijoita"</f>
        <v>Alamaisten elämää ; Kansan palvelijoita</v>
      </c>
      <c r="E425" t="str">
        <f t="shared" si="36"/>
        <v>viro</v>
      </c>
      <c r="F425" t="str">
        <f>"lühiproosa, proosa; satiirit"</f>
        <v>lühiproosa, proosa; satiirit</v>
      </c>
      <c r="G425" t="str">
        <f>"  täiskasvanud"</f>
        <v xml:space="preserve">  täiskasvanud</v>
      </c>
      <c r="H425" t="str">
        <f t="shared" si="44"/>
        <v>1993</v>
      </c>
      <c r="I425" t="str">
        <f>"Lugemist kõigile"</f>
        <v>Lugemist kõigile</v>
      </c>
      <c r="J425" t="str">
        <f>"Paikre, Ants"</f>
        <v>Paikre, Ants</v>
      </c>
      <c r="K425" t="str">
        <f>"Perioodika, Tallinn"</f>
        <v>Perioodika, Tallinn</v>
      </c>
      <c r="L425" t="str">
        <f>""</f>
        <v/>
      </c>
      <c r="M425" t="str">
        <f>""</f>
        <v/>
      </c>
    </row>
    <row r="426" spans="1:13" ht="15">
      <c r="A426" t="s">
        <v>424</v>
      </c>
      <c r="B426" t="str">
        <f>"4438"</f>
        <v>4438</v>
      </c>
      <c r="C426" t="str">
        <f>"1987"</f>
        <v>1987</v>
      </c>
      <c r="D426" t="str">
        <f>"St. Petersburgin salakuljetus, eli, Kaupunki mielikuvana"</f>
        <v>St. Petersburgin salakuljetus, eli, Kaupunki mielikuvana</v>
      </c>
      <c r="E426" t="str">
        <f t="shared" si="36"/>
        <v>viro</v>
      </c>
      <c r="F426" t="str">
        <f>"romaanid; proosa"</f>
        <v>romaanid; proosa</v>
      </c>
      <c r="G426" t="str">
        <f>"  täiskasvanud"</f>
        <v xml:space="preserve">  täiskasvanud</v>
      </c>
      <c r="H426" t="str">
        <f t="shared" si="44"/>
        <v>1993</v>
      </c>
      <c r="I426" t="str">
        <f>"Sankt Peterburgi salakaup, ehk, Linn meelekujutuses"</f>
        <v>Sankt Peterburgi salakaup, ehk, Linn meelekujutuses</v>
      </c>
      <c r="J426" t="str">
        <f>"Mäger, Mart"</f>
        <v>Mäger, Mart</v>
      </c>
      <c r="K426" t="str">
        <f>"Eesti Raamat, Tallinn"</f>
        <v>Eesti Raamat, Tallinn</v>
      </c>
      <c r="L426" t="str">
        <f>""</f>
        <v/>
      </c>
      <c r="M426" t="str">
        <f>"5-450-01841-X"</f>
        <v>5-450-01841-X</v>
      </c>
    </row>
    <row r="427" spans="1:13" ht="15">
      <c r="A427" t="s">
        <v>448</v>
      </c>
      <c r="B427" t="str">
        <f>"9653"</f>
        <v>9653</v>
      </c>
      <c r="C427" t="str">
        <f>"1967"</f>
        <v>1967</v>
      </c>
      <c r="D427" t="str">
        <f>"Bonadea"</f>
        <v>Bonadea</v>
      </c>
      <c r="E427" t="str">
        <f t="shared" si="36"/>
        <v>viro</v>
      </c>
      <c r="F427" t="str">
        <f>"romaanid; proosa"</f>
        <v>romaanid; proosa</v>
      </c>
      <c r="G427" t="str">
        <f>" lapsed ja noored"</f>
        <v xml:space="preserve"> lapsed ja noored</v>
      </c>
      <c r="H427" t="str">
        <f t="shared" si="44"/>
        <v>1993</v>
      </c>
      <c r="I427" t="str">
        <f>"Bonadea"</f>
        <v>Bonadea</v>
      </c>
      <c r="J427" t="str">
        <f>"Tuulik, Mari"</f>
        <v>Tuulik, Mari</v>
      </c>
      <c r="K427" t="str">
        <f>"Kunst, Tallinn"</f>
        <v>Kunst, Tallinn</v>
      </c>
      <c r="L427" t="str">
        <f>""</f>
        <v/>
      </c>
      <c r="M427" t="str">
        <f>"5-89920-068-5"</f>
        <v>5-89920-068-5</v>
      </c>
    </row>
    <row r="428" spans="1:13" ht="15">
      <c r="A428" t="s">
        <v>531</v>
      </c>
      <c r="B428" t="str">
        <f>"4435"</f>
        <v>4435</v>
      </c>
      <c r="C428" t="str">
        <f>"1986"</f>
        <v>1986</v>
      </c>
      <c r="D428" t="str">
        <f>"Ameriikan raitti"</f>
        <v>Ameriikan raitti</v>
      </c>
      <c r="E428" t="str">
        <f t="shared" si="36"/>
        <v>viro</v>
      </c>
      <c r="F428" t="str">
        <f>"romaanid; proosa"</f>
        <v>romaanid; proosa</v>
      </c>
      <c r="G428" t="str">
        <f>"  täiskasvanud"</f>
        <v xml:space="preserve">  täiskasvanud</v>
      </c>
      <c r="H428" t="str">
        <f t="shared" si="44"/>
        <v>1993</v>
      </c>
      <c r="I428" t="str">
        <f>"Ameriikatrett"</f>
        <v>Ameriikatrett</v>
      </c>
      <c r="J428" t="str">
        <f>"Haljamaa, Ants"</f>
        <v>Haljamaa, Ants</v>
      </c>
      <c r="K428" t="str">
        <f>"Eesti Raamat, Tallinn"</f>
        <v>Eesti Raamat, Tallinn</v>
      </c>
      <c r="L428" t="str">
        <f>""</f>
        <v/>
      </c>
      <c r="M428" t="str">
        <f>"5-450-01848-7"</f>
        <v>5-450-01848-7</v>
      </c>
    </row>
    <row r="429" spans="1:13" ht="15">
      <c r="A429" t="s">
        <v>531</v>
      </c>
      <c r="B429" t="str">
        <f>"2907"</f>
        <v>2907</v>
      </c>
      <c r="C429" t="str">
        <f>"1988"</f>
        <v>1988</v>
      </c>
      <c r="D429" t="str">
        <f>"Uusi Jerusalem"</f>
        <v>Uusi Jerusalem</v>
      </c>
      <c r="E429" t="str">
        <f t="shared" si="36"/>
        <v>viro</v>
      </c>
      <c r="F429" t="str">
        <f>"romaanid; proosa"</f>
        <v>romaanid; proosa</v>
      </c>
      <c r="G429" t="str">
        <f>"  täiskasvanud"</f>
        <v xml:space="preserve">  täiskasvanud</v>
      </c>
      <c r="H429" t="str">
        <f t="shared" si="44"/>
        <v>1993</v>
      </c>
      <c r="I429" t="str">
        <f>"Uus Jeruusalemm"</f>
        <v>Uus Jeruusalemm</v>
      </c>
      <c r="J429" t="str">
        <f>"Haljamaa, Ants"</f>
        <v>Haljamaa, Ants</v>
      </c>
      <c r="K429" t="str">
        <f>"Koolibri, Tallinn"</f>
        <v>Koolibri, Tallinn</v>
      </c>
      <c r="L429" t="str">
        <f>""</f>
        <v/>
      </c>
      <c r="M429" t="str">
        <f>"9985-0-0042-0"</f>
        <v>9985-0-0042-0</v>
      </c>
    </row>
    <row r="430" spans="1:13" ht="15">
      <c r="A430" t="s">
        <v>533</v>
      </c>
      <c r="B430" t="str">
        <f>"4891"</f>
        <v>4891</v>
      </c>
      <c r="C430" t="str">
        <f>"1977"</f>
        <v>1977</v>
      </c>
      <c r="D430" t="str">
        <f>"Rakas Henrietta"</f>
        <v>Rakas Henrietta</v>
      </c>
      <c r="E430" t="str">
        <f t="shared" si="36"/>
        <v>viro</v>
      </c>
      <c r="F430" t="str">
        <f>"romaanid; proosa"</f>
        <v>romaanid; proosa</v>
      </c>
      <c r="G430" t="str">
        <f>"  täiskasvanud"</f>
        <v xml:space="preserve">  täiskasvanud</v>
      </c>
      <c r="H430" t="str">
        <f t="shared" si="44"/>
        <v>1993</v>
      </c>
      <c r="I430" t="str">
        <f>"Armas Henrietta"</f>
        <v>Armas Henrietta</v>
      </c>
      <c r="J430" t="str">
        <f>"Krigul, Merle"</f>
        <v>Krigul, Merle</v>
      </c>
      <c r="K430" t="str">
        <f>"Sinisukk, Tallinn"</f>
        <v>Sinisukk, Tallinn</v>
      </c>
      <c r="L430" t="str">
        <f>""</f>
        <v/>
      </c>
      <c r="M430" t="str">
        <f>"9985-812-00-X"</f>
        <v>9985-812-00-X</v>
      </c>
    </row>
    <row r="431" spans="1:13" ht="15">
      <c r="A431" t="s">
        <v>541</v>
      </c>
      <c r="B431" t="str">
        <f>"10167"</f>
        <v>10167</v>
      </c>
      <c r="C431" t="str">
        <f>"1933"</f>
        <v>1933</v>
      </c>
      <c r="D431" t="str">
        <f>"Vaimoke"</f>
        <v>Vaimoke</v>
      </c>
      <c r="E431" t="str">
        <f aca="true" t="shared" si="45" ref="E431:E494">"viro"</f>
        <v>viro</v>
      </c>
      <c r="F431" t="str">
        <f>"romaanid; proosa"</f>
        <v>romaanid; proosa</v>
      </c>
      <c r="G431" t="str">
        <f>"  täiskasvanud"</f>
        <v xml:space="preserve">  täiskasvanud</v>
      </c>
      <c r="H431" t="str">
        <f t="shared" si="44"/>
        <v>1993</v>
      </c>
      <c r="I431" t="str">
        <f>"Asenaine"</f>
        <v>Asenaine</v>
      </c>
      <c r="J431" t="str">
        <f>"Ränk, Aino"</f>
        <v>Ränk, Aino</v>
      </c>
      <c r="K431" t="str">
        <f>"Harel, Tallinn"</f>
        <v>Harel, Tallinn</v>
      </c>
      <c r="L431" t="str">
        <f>""</f>
        <v/>
      </c>
      <c r="M431" t="str">
        <f>""</f>
        <v/>
      </c>
    </row>
    <row r="432" spans="1:13" ht="15">
      <c r="A432" t="s">
        <v>20</v>
      </c>
      <c r="B432" t="str">
        <f>"4360"</f>
        <v>4360</v>
      </c>
      <c r="C432" t="str">
        <f>"1981"</f>
        <v>1981</v>
      </c>
      <c r="D432" t="str">
        <f>"Suomen kirjallisuuden historia"</f>
        <v>Suomen kirjallisuuden historia</v>
      </c>
      <c r="E432" t="str">
        <f t="shared" si="45"/>
        <v>viro</v>
      </c>
      <c r="F432" t="str">
        <f>""</f>
        <v/>
      </c>
      <c r="G432" t="str">
        <f>"  täiskasvanud"</f>
        <v xml:space="preserve">  täiskasvanud</v>
      </c>
      <c r="H432" t="str">
        <f aca="true" t="shared" si="46" ref="H432:H468">"1994"</f>
        <v>1994</v>
      </c>
      <c r="I432" t="str">
        <f>"Soome kirjanduse ajalugu"</f>
        <v>Soome kirjanduse ajalugu</v>
      </c>
      <c r="J432" t="str">
        <f>"Saluri, Piret"</f>
        <v>Saluri, Piret</v>
      </c>
      <c r="K432" t="str">
        <f>"Vagabund, Tallinn"</f>
        <v>Vagabund, Tallinn</v>
      </c>
      <c r="L432" t="str">
        <f>""</f>
        <v/>
      </c>
      <c r="M432" t="str">
        <f>"9985-835-00-X"</f>
        <v>9985-835-00-X</v>
      </c>
    </row>
    <row r="433" spans="1:13" ht="15">
      <c r="A433" t="s">
        <v>31</v>
      </c>
      <c r="B433" t="str">
        <f>"4537"</f>
        <v>4537</v>
      </c>
      <c r="C433" t="str">
        <f>"1991"</f>
        <v>1991</v>
      </c>
      <c r="D433" t="str">
        <f>"Den svarta portföljen"</f>
        <v>Den svarta portföljen</v>
      </c>
      <c r="E433" t="str">
        <f t="shared" si="45"/>
        <v>viro</v>
      </c>
      <c r="F433" t="str">
        <f>"romaanid; proosa"</f>
        <v>romaanid; proosa</v>
      </c>
      <c r="G433" t="str">
        <f>"  täiskasvanud"</f>
        <v xml:space="preserve">  täiskasvanud</v>
      </c>
      <c r="H433" t="str">
        <f t="shared" si="46"/>
        <v>1994</v>
      </c>
      <c r="I433" t="str">
        <f>"Must mapp"</f>
        <v>Must mapp</v>
      </c>
      <c r="J433" t="str">
        <f>"Ravel, Arnold"</f>
        <v>Ravel, Arnold</v>
      </c>
      <c r="K433" t="str">
        <f>"Eesti Raamat, Tallinn"</f>
        <v>Eesti Raamat, Tallinn</v>
      </c>
      <c r="L433" t="str">
        <f>""</f>
        <v/>
      </c>
      <c r="M433" t="str">
        <f>"5-450-02223-9"</f>
        <v>5-450-02223-9</v>
      </c>
    </row>
    <row r="434" spans="1:13" ht="15">
      <c r="A434" t="s">
        <v>34</v>
      </c>
      <c r="B434" t="str">
        <f>"4326"</f>
        <v>4326</v>
      </c>
      <c r="C434" t="str">
        <f>"1986"</f>
        <v>1986</v>
      </c>
      <c r="D434" t="str">
        <f>"Vasta-ajattelijoita ; Lukijan kosmopoetiikka ; Kenen siirto?"</f>
        <v>Vasta-ajattelijoita ; Lukijan kosmopoetiikka ; Kenen siirto?</v>
      </c>
      <c r="E434" t="str">
        <f t="shared" si="45"/>
        <v>viro</v>
      </c>
      <c r="F434" t="str">
        <f>""</f>
        <v/>
      </c>
      <c r="G434" t="str">
        <f>"  täiskasvanud"</f>
        <v xml:space="preserve">  täiskasvanud</v>
      </c>
      <c r="H434" t="str">
        <f t="shared" si="46"/>
        <v>1994</v>
      </c>
      <c r="I434" t="str">
        <f>"Kosmopoeetika"</f>
        <v>Kosmopoeetika</v>
      </c>
      <c r="J434" t="str">
        <f>"Pruul, Kajar, Sang, Joel"</f>
        <v>Pruul, Kajar, Sang, Joel</v>
      </c>
      <c r="K434" t="str">
        <f>"Vagabund, Tallinn"</f>
        <v>Vagabund, Tallinn</v>
      </c>
      <c r="L434" t="str">
        <f>""</f>
        <v/>
      </c>
      <c r="M434" t="str">
        <f>"9985-835-01-8"</f>
        <v>9985-835-01-8</v>
      </c>
    </row>
    <row r="435" spans="1:13" ht="15">
      <c r="A435" t="s">
        <v>56</v>
      </c>
      <c r="B435" t="str">
        <f>"4327"</f>
        <v>4327</v>
      </c>
      <c r="C435" t="str">
        <f>"1986"</f>
        <v>1986</v>
      </c>
      <c r="D435" t="str">
        <f>"Hyrrä"</f>
        <v>Hyrrä</v>
      </c>
      <c r="E435" t="str">
        <f t="shared" si="45"/>
        <v>viro</v>
      </c>
      <c r="F435" t="str">
        <f>"romaanid; proosa"</f>
        <v>romaanid; proosa</v>
      </c>
      <c r="G435" t="str">
        <f>"  täiskasvanud"</f>
        <v xml:space="preserve">  täiskasvanud</v>
      </c>
      <c r="H435" t="str">
        <f t="shared" si="46"/>
        <v>1994</v>
      </c>
      <c r="I435" t="str">
        <f>"Vurrkan"</f>
        <v>Vurrkan</v>
      </c>
      <c r="J435" t="str">
        <f>"Vaba, Mari"</f>
        <v>Vaba, Mari</v>
      </c>
      <c r="K435" t="str">
        <f>"Eesti Raamat, Tallinn"</f>
        <v>Eesti Raamat, Tallinn</v>
      </c>
      <c r="L435" t="str">
        <f>""</f>
        <v/>
      </c>
      <c r="M435" t="str">
        <f>"5-450-02229-8"</f>
        <v>5-450-02229-8</v>
      </c>
    </row>
    <row r="436" spans="1:13" ht="15">
      <c r="A436" t="s">
        <v>73</v>
      </c>
      <c r="B436" t="str">
        <f>"9614"</f>
        <v>9614</v>
      </c>
      <c r="C436" t="str">
        <f>"1991"</f>
        <v>1991</v>
      </c>
      <c r="D436" t="str">
        <f>"Virtahepo olohuoneessa : läheisriippuvuus ja sisäisen lapsen kohtaaminen"</f>
        <v>Virtahepo olohuoneessa : läheisriippuvuus ja sisäisen lapsen kohtaaminen</v>
      </c>
      <c r="E436" t="str">
        <f t="shared" si="45"/>
        <v>viro</v>
      </c>
      <c r="F436" t="str">
        <f>""</f>
        <v/>
      </c>
      <c r="G436" t="str">
        <f>"  täiskasvanud"</f>
        <v xml:space="preserve">  täiskasvanud</v>
      </c>
      <c r="H436" t="str">
        <f t="shared" si="46"/>
        <v>1994</v>
      </c>
      <c r="I436" t="str">
        <f>"Jõehobu elutoas"</f>
        <v>Jõehobu elutoas</v>
      </c>
      <c r="J436" t="str">
        <f>"Sepp, Tiit"</f>
        <v>Sepp, Tiit</v>
      </c>
      <c r="K436" t="str">
        <f>"Eesti Karskusliit, Tallinn"</f>
        <v>Eesti Karskusliit, Tallinn</v>
      </c>
      <c r="L436" t="str">
        <f>""</f>
        <v/>
      </c>
      <c r="M436" t="str">
        <f>""</f>
        <v/>
      </c>
    </row>
    <row r="437" spans="1:13" ht="15">
      <c r="A437" t="s">
        <v>74</v>
      </c>
      <c r="B437" t="str">
        <f>"4360"</f>
        <v>4360</v>
      </c>
      <c r="C437" t="str">
        <f>"1981"</f>
        <v>1981</v>
      </c>
      <c r="D437" t="str">
        <f>"Suomen kirjallisuuden historia"</f>
        <v>Suomen kirjallisuuden historia</v>
      </c>
      <c r="E437" t="str">
        <f t="shared" si="45"/>
        <v>viro</v>
      </c>
      <c r="F437" t="str">
        <f>""</f>
        <v/>
      </c>
      <c r="G437" t="str">
        <f>"  täiskasvanud"</f>
        <v xml:space="preserve">  täiskasvanud</v>
      </c>
      <c r="H437" t="str">
        <f t="shared" si="46"/>
        <v>1994</v>
      </c>
      <c r="I437" t="str">
        <f>"Soome kirjanduse ajalugu"</f>
        <v>Soome kirjanduse ajalugu</v>
      </c>
      <c r="J437" t="str">
        <f>"Saluri, Piret"</f>
        <v>Saluri, Piret</v>
      </c>
      <c r="K437" t="str">
        <f>"Vagabund, Tallinn"</f>
        <v>Vagabund, Tallinn</v>
      </c>
      <c r="L437" t="str">
        <f>""</f>
        <v/>
      </c>
      <c r="M437" t="str">
        <f>"9985-835-00-X"</f>
        <v>9985-835-00-X</v>
      </c>
    </row>
    <row r="438" spans="1:13" ht="15">
      <c r="A438" t="s">
        <v>81</v>
      </c>
      <c r="B438" t="str">
        <f>"4464"</f>
        <v>4464</v>
      </c>
      <c r="C438" t="str">
        <f>"1950"</f>
        <v>1950</v>
      </c>
      <c r="D438" t="str">
        <f>"Suurleirin seikkailijat"</f>
        <v>Suurleirin seikkailijat</v>
      </c>
      <c r="E438" t="str">
        <f t="shared" si="45"/>
        <v>viro</v>
      </c>
      <c r="F438" t="str">
        <f>"romaanid; proosa"</f>
        <v>romaanid; proosa</v>
      </c>
      <c r="G438" t="str">
        <f>" lapsed ja noored"</f>
        <v xml:space="preserve"> lapsed ja noored</v>
      </c>
      <c r="H438" t="str">
        <f t="shared" si="46"/>
        <v>1994</v>
      </c>
      <c r="I438" t="str">
        <f>"Suurlaagri seiklejad"</f>
        <v>Suurlaagri seiklejad</v>
      </c>
      <c r="J438" t="str">
        <f>"Jürgenson, Marika"</f>
        <v>Jürgenson, Marika</v>
      </c>
      <c r="K438" t="str">
        <f>"Skaudivarustus, Tallinn"</f>
        <v>Skaudivarustus, Tallinn</v>
      </c>
      <c r="L438" t="str">
        <f>""</f>
        <v/>
      </c>
      <c r="M438" t="str">
        <f>"9985-833-02-3"</f>
        <v>9985-833-02-3</v>
      </c>
    </row>
    <row r="439" spans="1:13" ht="15">
      <c r="A439" t="s">
        <v>105</v>
      </c>
      <c r="B439" t="str">
        <f>"4382"</f>
        <v>4382</v>
      </c>
      <c r="C439" t="str">
        <f>"1983"</f>
        <v>1983</v>
      </c>
      <c r="D439" t="str">
        <f>"Viipurista Vatikaaniin : suomalainen nunna maailmalla"</f>
        <v>Viipurista Vatikaaniin : suomalainen nunna maailmalla</v>
      </c>
      <c r="E439" t="str">
        <f t="shared" si="45"/>
        <v>viro</v>
      </c>
      <c r="F439" t="str">
        <f>""</f>
        <v/>
      </c>
      <c r="G439" t="str">
        <f>"  täiskasvanud"</f>
        <v xml:space="preserve">  täiskasvanud</v>
      </c>
      <c r="H439" t="str">
        <f t="shared" si="46"/>
        <v>1994</v>
      </c>
      <c r="I439" t="str">
        <f>"Viiburist Vatikani"</f>
        <v>Viiburist Vatikani</v>
      </c>
      <c r="J439" t="str">
        <f>"Vaarandi, Debora"</f>
        <v>Vaarandi, Debora</v>
      </c>
      <c r="K439" t="str">
        <f>"Eesti Raamat, Tallinn"</f>
        <v>Eesti Raamat, Tallinn</v>
      </c>
      <c r="L439" t="str">
        <f>""</f>
        <v/>
      </c>
      <c r="M439" t="str">
        <f>"5-450-02245-X"</f>
        <v>5-450-02245-X</v>
      </c>
    </row>
    <row r="440" spans="1:13" ht="15">
      <c r="A440" t="s">
        <v>117</v>
      </c>
      <c r="B440" t="str">
        <f>"7978"</f>
        <v>7978</v>
      </c>
      <c r="C440" t="str">
        <f>""</f>
        <v/>
      </c>
      <c r="D440" t="str">
        <f>"Det osynliga barnet ; Pappan och havet ;  Muminpappas memoarer ; Trollkarlens hatt ; Trollvinter"</f>
        <v>Det osynliga barnet ; Pappan och havet ;  Muminpappas memoarer ; Trollkarlens hatt ; Trollvinter</v>
      </c>
      <c r="E440" t="str">
        <f t="shared" si="45"/>
        <v>viro</v>
      </c>
      <c r="F440" t="str">
        <f>"proosa"</f>
        <v>proosa</v>
      </c>
      <c r="G440" t="str">
        <f>" lapsed ja noored"</f>
        <v xml:space="preserve"> lapsed ja noored</v>
      </c>
      <c r="H440" t="str">
        <f t="shared" si="46"/>
        <v>1994</v>
      </c>
      <c r="I440" t="str">
        <f>"Muumitroll"</f>
        <v>Muumitroll</v>
      </c>
      <c r="J440" t="str">
        <f>"Beekman, Vladimir"</f>
        <v>Beekman, Vladimir</v>
      </c>
      <c r="K440" t="str">
        <f>"Tiritamm, Tallinn"</f>
        <v>Tiritamm, Tallinn</v>
      </c>
      <c r="L440" t="str">
        <f>""</f>
        <v/>
      </c>
      <c r="M440" t="str">
        <f>"9985-55-014-5"</f>
        <v>9985-55-014-5</v>
      </c>
    </row>
    <row r="441" spans="1:13" ht="15">
      <c r="A441" t="s">
        <v>147</v>
      </c>
      <c r="B441" t="str">
        <f>"4362"</f>
        <v>4362</v>
      </c>
      <c r="C441" t="str">
        <f>"1952"</f>
        <v>1952</v>
      </c>
      <c r="D441" t="str">
        <f>"Päiväkirja vuosilta 1897-1906"</f>
        <v>Päiväkirja vuosilta 1897-1906</v>
      </c>
      <c r="E441" t="str">
        <f t="shared" si="45"/>
        <v>viro</v>
      </c>
      <c r="F441" t="str">
        <f>""</f>
        <v/>
      </c>
      <c r="G441" t="str">
        <f>"  täiskasvanud"</f>
        <v xml:space="preserve">  täiskasvanud</v>
      </c>
      <c r="H441" t="str">
        <f t="shared" si="46"/>
        <v>1994</v>
      </c>
      <c r="I441" t="str">
        <f>"Pärjapunuja"</f>
        <v>Pärjapunuja</v>
      </c>
      <c r="J441" t="str">
        <f>"Eller, Helmi"</f>
        <v>Eller, Helmi</v>
      </c>
      <c r="K441" t="str">
        <f>"Eesti Raamat, Tallinn"</f>
        <v>Eesti Raamat, Tallinn</v>
      </c>
      <c r="L441" t="str">
        <f>""</f>
        <v/>
      </c>
      <c r="M441" t="str">
        <f>"5-450-02365-0"</f>
        <v>5-450-02365-0</v>
      </c>
    </row>
    <row r="442" spans="1:13" ht="15">
      <c r="A442" t="s">
        <v>147</v>
      </c>
      <c r="B442" t="str">
        <f>"4361"</f>
        <v>4361</v>
      </c>
      <c r="C442" t="str">
        <f>"1953"</f>
        <v>1953</v>
      </c>
      <c r="D442" t="str">
        <f>"Päiväkirja vuosilta 1907-1915"</f>
        <v>Päiväkirja vuosilta 1907-1915</v>
      </c>
      <c r="E442" t="str">
        <f t="shared" si="45"/>
        <v>viro</v>
      </c>
      <c r="F442" t="str">
        <f>""</f>
        <v/>
      </c>
      <c r="G442" t="str">
        <f>"  täiskasvanud"</f>
        <v xml:space="preserve">  täiskasvanud</v>
      </c>
      <c r="H442" t="str">
        <f t="shared" si="46"/>
        <v>1994</v>
      </c>
      <c r="I442" t="str">
        <f>"Jäätunud šampanja"</f>
        <v>Jäätunud šampanja</v>
      </c>
      <c r="J442" t="str">
        <f>"Eller, Helmi"</f>
        <v>Eller, Helmi</v>
      </c>
      <c r="K442" t="str">
        <f>"Eesti Raamat, Tallinn"</f>
        <v>Eesti Raamat, Tallinn</v>
      </c>
      <c r="L442" t="str">
        <f>""</f>
        <v/>
      </c>
      <c r="M442" t="str">
        <f>"5-450-02381-2"</f>
        <v>5-450-02381-2</v>
      </c>
    </row>
    <row r="443" spans="1:13" ht="15">
      <c r="A443" t="s">
        <v>167</v>
      </c>
      <c r="B443" t="str">
        <f>"4385"</f>
        <v>4385</v>
      </c>
      <c r="C443" t="str">
        <f>"1991"</f>
        <v>1991</v>
      </c>
      <c r="D443" t="str">
        <f>"Sieniruokia"</f>
        <v>Sieniruokia</v>
      </c>
      <c r="E443" t="str">
        <f t="shared" si="45"/>
        <v>viro</v>
      </c>
      <c r="F443" t="str">
        <f>""</f>
        <v/>
      </c>
      <c r="G443" t="str">
        <f>"  täiskasvanud"</f>
        <v xml:space="preserve">  täiskasvanud</v>
      </c>
      <c r="H443" t="str">
        <f t="shared" si="46"/>
        <v>1994</v>
      </c>
      <c r="I443" t="str">
        <f>"Seenetõidud"</f>
        <v>Seenetõidud</v>
      </c>
      <c r="J443" t="str">
        <f>"Pilvik, Anne"</f>
        <v>Pilvik, Anne</v>
      </c>
      <c r="K443" t="str">
        <f>"Perioodika, Tallinn"</f>
        <v>Perioodika, Tallinn</v>
      </c>
      <c r="L443" t="str">
        <f>""</f>
        <v/>
      </c>
      <c r="M443" t="str">
        <f>"5-7979-0505-1"</f>
        <v>5-7979-0505-1</v>
      </c>
    </row>
    <row r="444" spans="1:13" ht="15">
      <c r="A444" t="s">
        <v>212</v>
      </c>
      <c r="B444" t="str">
        <f>"4333"</f>
        <v>4333</v>
      </c>
      <c r="C444" t="str">
        <f>"1985"</f>
        <v>1985</v>
      </c>
      <c r="D444" t="str">
        <f>"Tainaron"</f>
        <v>Tainaron</v>
      </c>
      <c r="E444" t="str">
        <f t="shared" si="45"/>
        <v>viro</v>
      </c>
      <c r="F444" t="str">
        <f>"romaanid; proosa"</f>
        <v>romaanid; proosa</v>
      </c>
      <c r="G444" t="str">
        <f>"  täiskasvanud"</f>
        <v xml:space="preserve">  täiskasvanud</v>
      </c>
      <c r="H444" t="str">
        <f t="shared" si="46"/>
        <v>1994</v>
      </c>
      <c r="I444" t="str">
        <f>"Tainaron"</f>
        <v>Tainaron</v>
      </c>
      <c r="J444" t="str">
        <f>"Süvalep, Ele"</f>
        <v>Süvalep, Ele</v>
      </c>
      <c r="K444" t="str">
        <f>"Aniara, Tartu"</f>
        <v>Aniara, Tartu</v>
      </c>
      <c r="L444" t="str">
        <f>""</f>
        <v/>
      </c>
      <c r="M444" t="str">
        <f>""</f>
        <v/>
      </c>
    </row>
    <row r="445" spans="1:13" ht="15">
      <c r="A445" t="s">
        <v>233</v>
      </c>
      <c r="B445" t="str">
        <f>"4360"</f>
        <v>4360</v>
      </c>
      <c r="C445" t="str">
        <f>"1981"</f>
        <v>1981</v>
      </c>
      <c r="D445" t="str">
        <f>"Suomen kirjallisuuden historia"</f>
        <v>Suomen kirjallisuuden historia</v>
      </c>
      <c r="E445" t="str">
        <f t="shared" si="45"/>
        <v>viro</v>
      </c>
      <c r="F445" t="str">
        <f>""</f>
        <v/>
      </c>
      <c r="G445" t="str">
        <f>"  täiskasvanud"</f>
        <v xml:space="preserve">  täiskasvanud</v>
      </c>
      <c r="H445" t="str">
        <f t="shared" si="46"/>
        <v>1994</v>
      </c>
      <c r="I445" t="str">
        <f>"Soome kirjanduse ajalugu"</f>
        <v>Soome kirjanduse ajalugu</v>
      </c>
      <c r="J445" t="str">
        <f>"Saluri, Piret"</f>
        <v>Saluri, Piret</v>
      </c>
      <c r="K445" t="str">
        <f>"Vagabund, Tallinn"</f>
        <v>Vagabund, Tallinn</v>
      </c>
      <c r="L445" t="str">
        <f>""</f>
        <v/>
      </c>
      <c r="M445" t="str">
        <f>"9985-835-00-X"</f>
        <v>9985-835-00-X</v>
      </c>
    </row>
    <row r="446" spans="1:13" ht="15">
      <c r="A446" t="s">
        <v>238</v>
      </c>
      <c r="B446" t="str">
        <f>"14967"</f>
        <v>14967</v>
      </c>
      <c r="C446" t="str">
        <f>"1959"</f>
        <v>1959</v>
      </c>
      <c r="D446" t="str">
        <f>"Vaeltajavartion urotyö : seikkailukertomus"</f>
        <v>Vaeltajavartion urotyö : seikkailukertomus</v>
      </c>
      <c r="E446" t="str">
        <f t="shared" si="45"/>
        <v>viro</v>
      </c>
      <c r="F446" t="str">
        <f>"romaanid; proosa"</f>
        <v>romaanid; proosa</v>
      </c>
      <c r="G446" t="str">
        <f>" lapsed ja noored"</f>
        <v xml:space="preserve"> lapsed ja noored</v>
      </c>
      <c r="H446" t="str">
        <f t="shared" si="46"/>
        <v>1994</v>
      </c>
      <c r="I446" t="str">
        <f>"Vanemskautide kangelastegu"</f>
        <v>Vanemskautide kangelastegu</v>
      </c>
      <c r="J446" t="str">
        <f>"Jürgenson, Marika"</f>
        <v>Jürgenson, Marika</v>
      </c>
      <c r="K446" t="str">
        <f>"Skaudivarustus, Tallinn"</f>
        <v>Skaudivarustus, Tallinn</v>
      </c>
      <c r="L446" t="str">
        <f>""</f>
        <v/>
      </c>
      <c r="M446" t="str">
        <f>"9985600266"</f>
        <v>9985600266</v>
      </c>
    </row>
    <row r="447" spans="1:13" ht="15">
      <c r="A447" t="s">
        <v>246</v>
      </c>
      <c r="B447" t="str">
        <f>"5809"</f>
        <v>5809</v>
      </c>
      <c r="C447" t="str">
        <f>"1987"</f>
        <v>1987</v>
      </c>
      <c r="D447" t="str">
        <f>"Punainen vuorineuvos"</f>
        <v>Punainen vuorineuvos</v>
      </c>
      <c r="E447" t="str">
        <f t="shared" si="45"/>
        <v>viro</v>
      </c>
      <c r="F447" t="str">
        <f>"romaanid; proosa"</f>
        <v>romaanid; proosa</v>
      </c>
      <c r="G447" t="str">
        <f>"  täiskasvanud"</f>
        <v xml:space="preserve">  täiskasvanud</v>
      </c>
      <c r="H447" t="str">
        <f t="shared" si="46"/>
        <v>1994</v>
      </c>
      <c r="I447" t="str">
        <f>"Punane mäenounik"</f>
        <v>Punane mäenounik</v>
      </c>
      <c r="J447" t="str">
        <f>"Leis, Alo, Leis, Helve"</f>
        <v>Leis, Alo, Leis, Helve</v>
      </c>
      <c r="K447" t="str">
        <f>"Raud, Tallinn"</f>
        <v>Raud, Tallinn</v>
      </c>
      <c r="L447" t="str">
        <f>""</f>
        <v/>
      </c>
      <c r="M447" t="str">
        <f>"952-9689-02-0"</f>
        <v>952-9689-02-0</v>
      </c>
    </row>
    <row r="448" spans="1:13" ht="15">
      <c r="A448" t="s">
        <v>273</v>
      </c>
      <c r="B448" t="str">
        <f>"4334"</f>
        <v>4334</v>
      </c>
      <c r="C448" t="str">
        <f>"1905"</f>
        <v>1905</v>
      </c>
      <c r="D448" t="str">
        <f>"Laulu tulipunaisesta kukasta"</f>
        <v>Laulu tulipunaisesta kukasta</v>
      </c>
      <c r="E448" t="str">
        <f t="shared" si="45"/>
        <v>viro</v>
      </c>
      <c r="F448" t="str">
        <f>"romaanid; proosa"</f>
        <v>romaanid; proosa</v>
      </c>
      <c r="G448" t="str">
        <f>"  täiskasvanud"</f>
        <v xml:space="preserve">  täiskasvanud</v>
      </c>
      <c r="H448" t="str">
        <f t="shared" si="46"/>
        <v>1994</v>
      </c>
      <c r="I448" t="str">
        <f>"Laul tulipunasest lillest"</f>
        <v>Laul tulipunasest lillest</v>
      </c>
      <c r="J448" t="str">
        <f>"Jaagu, Leet"</f>
        <v>Jaagu, Leet</v>
      </c>
      <c r="K448" t="str">
        <f>"Stella, Paide"</f>
        <v>Stella, Paide</v>
      </c>
      <c r="L448" t="str">
        <f>""</f>
        <v/>
      </c>
      <c r="M448" t="str">
        <f>"9985-60-049-5"</f>
        <v>9985-60-049-5</v>
      </c>
    </row>
    <row r="449" spans="1:13" ht="15">
      <c r="A449" t="s">
        <v>273</v>
      </c>
      <c r="B449" t="str">
        <f>"14989"</f>
        <v>14989</v>
      </c>
      <c r="C449" t="str">
        <f>"1905"</f>
        <v>1905</v>
      </c>
      <c r="D449" t="str">
        <f>"Laulu tulipunaisesta kukasta"</f>
        <v>Laulu tulipunaisesta kukasta</v>
      </c>
      <c r="E449" t="str">
        <f t="shared" si="45"/>
        <v>viro</v>
      </c>
      <c r="F449" t="str">
        <f>"romaanid; proosa"</f>
        <v>romaanid; proosa</v>
      </c>
      <c r="G449" t="str">
        <f>"  täiskasvanud"</f>
        <v xml:space="preserve">  täiskasvanud</v>
      </c>
      <c r="H449" t="str">
        <f t="shared" si="46"/>
        <v>1994</v>
      </c>
      <c r="I449" t="str">
        <f>"Laul tulipunasest lillest"</f>
        <v>Laul tulipunasest lillest</v>
      </c>
      <c r="J449" t="str">
        <f>"Jaagu, Leet"</f>
        <v>Jaagu, Leet</v>
      </c>
      <c r="K449" t="str">
        <f>"Stella, Paide"</f>
        <v>Stella, Paide</v>
      </c>
      <c r="L449" t="str">
        <f>""</f>
        <v/>
      </c>
      <c r="M449" t="str">
        <f>"9985-60-049-5"</f>
        <v>9985-60-049-5</v>
      </c>
    </row>
    <row r="450" spans="1:13" ht="15">
      <c r="A450" t="s">
        <v>302</v>
      </c>
      <c r="B450" t="str">
        <f>"5693"</f>
        <v>5693</v>
      </c>
      <c r="C450" t="str">
        <f>"1993"</f>
        <v>1993</v>
      </c>
      <c r="D450" t="str">
        <f>"Suuri unikirja"</f>
        <v>Suuri unikirja</v>
      </c>
      <c r="E450" t="str">
        <f t="shared" si="45"/>
        <v>viro</v>
      </c>
      <c r="F450" t="str">
        <f>""</f>
        <v/>
      </c>
      <c r="G450" t="str">
        <f>""</f>
        <v/>
      </c>
      <c r="H450" t="str">
        <f t="shared" si="46"/>
        <v>1994</v>
      </c>
      <c r="I450" t="str">
        <f>"Suur unenäoraamat. 1-2"</f>
        <v>Suur unenäoraamat. 1-2</v>
      </c>
      <c r="J450" t="str">
        <f>"Lepp, Andres"</f>
        <v>Lepp, Andres</v>
      </c>
      <c r="K450" t="str">
        <f>"Sinisukk, Tallinn"</f>
        <v>Sinisukk, Tallinn</v>
      </c>
      <c r="L450" t="str">
        <f>""</f>
        <v/>
      </c>
      <c r="M450" t="str">
        <f>"9985-812-11-5"</f>
        <v>9985-812-11-5</v>
      </c>
    </row>
    <row r="451" spans="1:13" ht="15">
      <c r="A451" t="s">
        <v>322</v>
      </c>
      <c r="B451" t="str">
        <f>"4461"</f>
        <v>4461</v>
      </c>
      <c r="C451" t="str">
        <f>"1951"</f>
        <v>1951</v>
      </c>
      <c r="D451" t="str">
        <f>"Suuri taikakirja"</f>
        <v>Suuri taikakirja</v>
      </c>
      <c r="E451" t="str">
        <f t="shared" si="45"/>
        <v>viro</v>
      </c>
      <c r="F451" t="str">
        <f>""</f>
        <v/>
      </c>
      <c r="G451" t="str">
        <f>"  täiskasvanud"</f>
        <v xml:space="preserve">  täiskasvanud</v>
      </c>
      <c r="H451" t="str">
        <f t="shared" si="46"/>
        <v>1994</v>
      </c>
      <c r="I451" t="str">
        <f>"Mustkunstiraamat"</f>
        <v>Mustkunstiraamat</v>
      </c>
      <c r="J451" t="str">
        <f>""</f>
        <v/>
      </c>
      <c r="K451" t="str">
        <f>"Valgus, Tallinn"</f>
        <v>Valgus, Tallinn</v>
      </c>
      <c r="L451" t="str">
        <f>""</f>
        <v/>
      </c>
      <c r="M451" t="str">
        <f>"5-440-01366-0"</f>
        <v>5-440-01366-0</v>
      </c>
    </row>
    <row r="452" spans="1:13" ht="15">
      <c r="A452" t="s">
        <v>328</v>
      </c>
      <c r="B452" t="str">
        <f>"4392"</f>
        <v>4392</v>
      </c>
      <c r="C452" t="str">
        <f>"1988"</f>
        <v>1988</v>
      </c>
      <c r="D452" t="str">
        <f>"Yhä paistaa sama aurinko"</f>
        <v>Yhä paistaa sama aurinko</v>
      </c>
      <c r="E452" t="str">
        <f t="shared" si="45"/>
        <v>viro</v>
      </c>
      <c r="F452" t="str">
        <f>""</f>
        <v/>
      </c>
      <c r="G452" t="str">
        <f>"  täiskasvanud"</f>
        <v xml:space="preserve">  täiskasvanud</v>
      </c>
      <c r="H452" t="str">
        <f t="shared" si="46"/>
        <v>1994</v>
      </c>
      <c r="I452" t="str">
        <f>"Ikka paistab sama päike"</f>
        <v>Ikka paistab sama päike</v>
      </c>
      <c r="J452" t="str">
        <f>"Ollisaar, Mare, Ollisaar, Martin"</f>
        <v>Ollisaar, Mare, Ollisaar, Martin</v>
      </c>
      <c r="K452" t="str">
        <f>"Eesti Entsüklopeediakirjastus, Tallinn"</f>
        <v>Eesti Entsüklopeediakirjastus, Tallinn</v>
      </c>
      <c r="L452" t="str">
        <f>""</f>
        <v/>
      </c>
      <c r="M452" t="str">
        <f>"5-89900-028-7"</f>
        <v>5-89900-028-7</v>
      </c>
    </row>
    <row r="453" spans="1:13" ht="15">
      <c r="A453" t="s">
        <v>333</v>
      </c>
      <c r="B453" t="str">
        <f>"4462"</f>
        <v>4462</v>
      </c>
      <c r="C453" t="str">
        <f>"1993"</f>
        <v>1993</v>
      </c>
      <c r="D453" t="str">
        <f>"Sinäkin voit parantaa : bioenergia ja sen mahdollisuudet"</f>
        <v>Sinäkin voit parantaa : bioenergia ja sen mahdollisuudet</v>
      </c>
      <c r="E453" t="str">
        <f t="shared" si="45"/>
        <v>viro</v>
      </c>
      <c r="F453" t="str">
        <f>""</f>
        <v/>
      </c>
      <c r="G453" t="str">
        <f>"  täiskasvanud"</f>
        <v xml:space="preserve">  täiskasvanud</v>
      </c>
      <c r="H453" t="str">
        <f t="shared" si="46"/>
        <v>1994</v>
      </c>
      <c r="I453" t="str">
        <f>"Sinagi võid ravida"</f>
        <v>Sinagi võid ravida</v>
      </c>
      <c r="J453" t="str">
        <f>"Lehtmets, Kadi"</f>
        <v>Lehtmets, Kadi</v>
      </c>
      <c r="K453" t="str">
        <f>"Sinisukk, Tallinn"</f>
        <v>Sinisukk, Tallinn</v>
      </c>
      <c r="L453" t="str">
        <f>""</f>
        <v/>
      </c>
      <c r="M453" t="str">
        <f>"9985-81207-7"</f>
        <v>9985-81207-7</v>
      </c>
    </row>
    <row r="454" spans="1:13" ht="15">
      <c r="A454" t="s">
        <v>424</v>
      </c>
      <c r="B454" t="str">
        <f>"4335"</f>
        <v>4335</v>
      </c>
      <c r="C454" t="str">
        <f>"1990"</f>
        <v>1990</v>
      </c>
      <c r="D454" t="str">
        <f>"Minä, Grünewald"</f>
        <v>Minä, Grünewald</v>
      </c>
      <c r="E454" t="str">
        <f t="shared" si="45"/>
        <v>viro</v>
      </c>
      <c r="F454" t="str">
        <f>"romaanid; proosa"</f>
        <v>romaanid; proosa</v>
      </c>
      <c r="G454" t="str">
        <f>"  täiskasvanud"</f>
        <v xml:space="preserve">  täiskasvanud</v>
      </c>
      <c r="H454" t="str">
        <f t="shared" si="46"/>
        <v>1994</v>
      </c>
      <c r="I454" t="str">
        <f>"Mina, Grünewald"</f>
        <v>Mina, Grünewald</v>
      </c>
      <c r="J454" t="str">
        <f>"Mäger, Mart, Vaarandi, Debora"</f>
        <v>Mäger, Mart, Vaarandi, Debora</v>
      </c>
      <c r="K454" t="str">
        <f>"Eesti Raamat, Tallinn"</f>
        <v>Eesti Raamat, Tallinn</v>
      </c>
      <c r="L454" t="str">
        <f>""</f>
        <v/>
      </c>
      <c r="M454" t="str">
        <f>"5-450-02234-4"</f>
        <v>5-450-02234-4</v>
      </c>
    </row>
    <row r="455" spans="1:13" ht="15">
      <c r="A455" t="s">
        <v>446</v>
      </c>
      <c r="B455" t="str">
        <f>"4336"</f>
        <v>4336</v>
      </c>
      <c r="C455" t="str">
        <f>"1990"</f>
        <v>1990</v>
      </c>
      <c r="D455" t="str">
        <f>"Pelastaja"</f>
        <v>Pelastaja</v>
      </c>
      <c r="E455" t="str">
        <f t="shared" si="45"/>
        <v>viro</v>
      </c>
      <c r="F455" t="str">
        <f>"romaanid; proosa"</f>
        <v>romaanid; proosa</v>
      </c>
      <c r="G455" t="str">
        <f>"  täiskasvanud"</f>
        <v xml:space="preserve">  täiskasvanud</v>
      </c>
      <c r="H455" t="str">
        <f t="shared" si="46"/>
        <v>1994</v>
      </c>
      <c r="I455" t="str">
        <f>"Päästja"</f>
        <v>Päästja</v>
      </c>
      <c r="J455" t="str">
        <f>"Kiin, Sirje"</f>
        <v>Kiin, Sirje</v>
      </c>
      <c r="K455" t="str">
        <f>"Perioodika, Tallinn"</f>
        <v>Perioodika, Tallinn</v>
      </c>
      <c r="L455" t="str">
        <f>""</f>
        <v/>
      </c>
      <c r="M455" t="str">
        <f>""</f>
        <v/>
      </c>
    </row>
    <row r="456" spans="1:13" ht="15">
      <c r="A456" t="s">
        <v>507</v>
      </c>
      <c r="B456" t="str">
        <f>"4399"</f>
        <v>4399</v>
      </c>
      <c r="C456" t="str">
        <f>"1993"</f>
        <v>1993</v>
      </c>
      <c r="D456" t="str">
        <f>"Viipurin mummon keittokirja"</f>
        <v>Viipurin mummon keittokirja</v>
      </c>
      <c r="E456" t="str">
        <f t="shared" si="45"/>
        <v>viro</v>
      </c>
      <c r="F456" t="str">
        <f>""</f>
        <v/>
      </c>
      <c r="G456" t="str">
        <f>"  täiskasvanud"</f>
        <v xml:space="preserve">  täiskasvanud</v>
      </c>
      <c r="H456" t="str">
        <f t="shared" si="46"/>
        <v>1994</v>
      </c>
      <c r="I456" t="str">
        <f>"Viiburi vanaema kokaraamat"</f>
        <v>Viiburi vanaema kokaraamat</v>
      </c>
      <c r="J456" t="str">
        <f>"Esko, Marie"</f>
        <v>Esko, Marie</v>
      </c>
      <c r="K456" t="str">
        <f>"Sinisukk, Tallinn"</f>
        <v>Sinisukk, Tallinn</v>
      </c>
      <c r="L456" t="str">
        <f>""</f>
        <v/>
      </c>
      <c r="M456" t="str">
        <f>"9985-812-09-3"</f>
        <v>9985-812-09-3</v>
      </c>
    </row>
    <row r="457" spans="1:13" ht="15">
      <c r="A457" t="s">
        <v>531</v>
      </c>
      <c r="B457" t="str">
        <f>"4540"</f>
        <v>4540</v>
      </c>
      <c r="C457" t="str">
        <f>"1993"</f>
        <v>1993</v>
      </c>
      <c r="D457" t="str">
        <f>"Miehiä naisten kanssa"</f>
        <v>Miehiä naisten kanssa</v>
      </c>
      <c r="E457" t="str">
        <f t="shared" si="45"/>
        <v>viro</v>
      </c>
      <c r="F457" t="str">
        <f>"romaanid; proosa"</f>
        <v>romaanid; proosa</v>
      </c>
      <c r="G457" t="str">
        <f>"  täiskasvanud"</f>
        <v xml:space="preserve">  täiskasvanud</v>
      </c>
      <c r="H457" t="str">
        <f t="shared" si="46"/>
        <v>1994</v>
      </c>
      <c r="I457" t="str">
        <f>"Mehed koos naistega"</f>
        <v>Mehed koos naistega</v>
      </c>
      <c r="J457" t="str">
        <f>"Haljamaa, Ants"</f>
        <v>Haljamaa, Ants</v>
      </c>
      <c r="K457" t="str">
        <f>"Perioodika, Tallinn"</f>
        <v>Perioodika, Tallinn</v>
      </c>
      <c r="L457" t="str">
        <f>""</f>
        <v/>
      </c>
      <c r="M457" t="str">
        <f>""</f>
        <v/>
      </c>
    </row>
    <row r="458" spans="1:13" ht="15">
      <c r="A458" t="s">
        <v>533</v>
      </c>
      <c r="B458" t="str">
        <f>"4337"</f>
        <v>4337</v>
      </c>
      <c r="C458" t="str">
        <f>"1992"</f>
        <v>1992</v>
      </c>
      <c r="D458" t="str">
        <f>"Vaskilintu"</f>
        <v>Vaskilintu</v>
      </c>
      <c r="E458" t="str">
        <f t="shared" si="45"/>
        <v>viro</v>
      </c>
      <c r="F458" t="str">
        <f>"romaanid; proosa"</f>
        <v>romaanid; proosa</v>
      </c>
      <c r="G458" t="str">
        <f>"  täiskasvanud"</f>
        <v xml:space="preserve">  täiskasvanud</v>
      </c>
      <c r="H458" t="str">
        <f t="shared" si="46"/>
        <v>1994</v>
      </c>
      <c r="I458" t="str">
        <f>"Vasklind"</f>
        <v>Vasklind</v>
      </c>
      <c r="J458" t="str">
        <f>"Lepp, Andres"</f>
        <v>Lepp, Andres</v>
      </c>
      <c r="K458" t="str">
        <f>"Sinisukk, Tallinn"</f>
        <v>Sinisukk, Tallinn</v>
      </c>
      <c r="L458" t="str">
        <f>""</f>
        <v/>
      </c>
      <c r="M458" t="str">
        <f>"9985-812-05-0"</f>
        <v>9985-812-05-0</v>
      </c>
    </row>
    <row r="459" spans="1:13" ht="15">
      <c r="A459" t="s">
        <v>541</v>
      </c>
      <c r="B459" t="str">
        <f>"4341"</f>
        <v>4341</v>
      </c>
      <c r="C459" t="str">
        <f>"1930"</f>
        <v>1930</v>
      </c>
      <c r="D459" t="str">
        <f>"Hiiliristi"</f>
        <v>Hiiliristi</v>
      </c>
      <c r="E459" t="str">
        <f t="shared" si="45"/>
        <v>viro</v>
      </c>
      <c r="F459" t="str">
        <f>"romaanid; proosa"</f>
        <v>romaanid; proosa</v>
      </c>
      <c r="G459" t="str">
        <f>"  täiskasvanud"</f>
        <v xml:space="preserve">  täiskasvanud</v>
      </c>
      <c r="H459" t="str">
        <f t="shared" si="46"/>
        <v>1994</v>
      </c>
      <c r="I459" t="str">
        <f>"Söerist"</f>
        <v>Söerist</v>
      </c>
      <c r="J459" t="str">
        <f>"Erm, Voldemar"</f>
        <v>Erm, Voldemar</v>
      </c>
      <c r="K459" t="str">
        <f>"Ronk, Tallinn"</f>
        <v>Ronk, Tallinn</v>
      </c>
      <c r="L459" t="str">
        <f>""</f>
        <v/>
      </c>
      <c r="M459" t="str">
        <f>""</f>
        <v/>
      </c>
    </row>
    <row r="460" spans="1:13" ht="15">
      <c r="A460" t="s">
        <v>541</v>
      </c>
      <c r="B460" t="str">
        <f>"4340"</f>
        <v>4340</v>
      </c>
      <c r="C460" t="str">
        <f>"1938"</f>
        <v>1938</v>
      </c>
      <c r="D460" t="str">
        <f>"Hätävara"</f>
        <v>Hätävara</v>
      </c>
      <c r="E460" t="str">
        <f t="shared" si="45"/>
        <v>viro</v>
      </c>
      <c r="F460" t="str">
        <f>"romaanid; proosa"</f>
        <v>romaanid; proosa</v>
      </c>
      <c r="G460" t="str">
        <f>"  täiskasvanud"</f>
        <v xml:space="preserve">  täiskasvanud</v>
      </c>
      <c r="H460" t="str">
        <f t="shared" si="46"/>
        <v>1994</v>
      </c>
      <c r="I460" t="str">
        <f>"Hädaabi"</f>
        <v>Hädaabi</v>
      </c>
      <c r="J460" t="str">
        <f>"Sinimets, Salme"</f>
        <v>Sinimets, Salme</v>
      </c>
      <c r="K460" t="str">
        <f>"Ronk, Tallinn"</f>
        <v>Ronk, Tallinn</v>
      </c>
      <c r="L460" t="str">
        <f>""</f>
        <v/>
      </c>
      <c r="M460" t="str">
        <f>""</f>
        <v/>
      </c>
    </row>
    <row r="461" spans="1:13" ht="15">
      <c r="A461" t="s">
        <v>541</v>
      </c>
      <c r="B461" t="str">
        <f>"4342"</f>
        <v>4342</v>
      </c>
      <c r="C461" t="str">
        <f>"1931"</f>
        <v>1931</v>
      </c>
      <c r="D461" t="str">
        <f>"Kunnankirjuri"</f>
        <v>Kunnankirjuri</v>
      </c>
      <c r="E461" t="str">
        <f t="shared" si="45"/>
        <v>viro</v>
      </c>
      <c r="F461" t="str">
        <f>"romaanid; proosa"</f>
        <v>romaanid; proosa</v>
      </c>
      <c r="G461" t="str">
        <f>"  täiskasvanud"</f>
        <v xml:space="preserve">  täiskasvanud</v>
      </c>
      <c r="H461" t="str">
        <f t="shared" si="46"/>
        <v>1994</v>
      </c>
      <c r="I461" t="str">
        <f>"Vallakirjutaja"</f>
        <v>Vallakirjutaja</v>
      </c>
      <c r="J461" t="str">
        <f>"Ränk, Aino"</f>
        <v>Ränk, Aino</v>
      </c>
      <c r="K461" t="str">
        <f>"Ronk, Tallinn"</f>
        <v>Ronk, Tallinn</v>
      </c>
      <c r="L461" t="str">
        <f>""</f>
        <v/>
      </c>
      <c r="M461" t="str">
        <f>""</f>
        <v/>
      </c>
    </row>
    <row r="462" spans="1:13" ht="15">
      <c r="A462" t="s">
        <v>541</v>
      </c>
      <c r="B462" t="str">
        <f>"4466"</f>
        <v>4466</v>
      </c>
      <c r="C462" t="str">
        <f>"1954"</f>
        <v>1954</v>
      </c>
      <c r="D462" t="str">
        <f>"Neiti talonmies"</f>
        <v>Neiti talonmies</v>
      </c>
      <c r="E462" t="str">
        <f t="shared" si="45"/>
        <v>viro</v>
      </c>
      <c r="F462" t="str">
        <f>"romaanid; proosa"</f>
        <v>romaanid; proosa</v>
      </c>
      <c r="G462" t="str">
        <f>"  täiskasvanud"</f>
        <v xml:space="preserve">  täiskasvanud</v>
      </c>
      <c r="H462" t="str">
        <f t="shared" si="46"/>
        <v>1994</v>
      </c>
      <c r="I462" t="str">
        <f>"Preili kojamees"</f>
        <v>Preili kojamees</v>
      </c>
      <c r="J462" t="str">
        <f>"Ingelman, Harry"</f>
        <v>Ingelman, Harry</v>
      </c>
      <c r="K462" t="str">
        <f>"Stella, Paide"</f>
        <v>Stella, Paide</v>
      </c>
      <c r="L462" t="str">
        <f>""</f>
        <v/>
      </c>
      <c r="M462" t="str">
        <f>"9985-63-0000-9"</f>
        <v>9985-63-0000-9</v>
      </c>
    </row>
    <row r="463" spans="1:13" ht="15">
      <c r="A463" t="s">
        <v>541</v>
      </c>
      <c r="B463" t="str">
        <f>"4343"</f>
        <v>4343</v>
      </c>
      <c r="C463" t="str">
        <f>"1928"</f>
        <v>1928</v>
      </c>
      <c r="D463" t="str">
        <f>"Opettajan villikko"</f>
        <v>Opettajan villikko</v>
      </c>
      <c r="E463" t="str">
        <f t="shared" si="45"/>
        <v>viro</v>
      </c>
      <c r="F463" t="str">
        <f>"romaanid; proosa"</f>
        <v>romaanid; proosa</v>
      </c>
      <c r="G463" t="str">
        <f>"  täiskasvanud"</f>
        <v xml:space="preserve">  täiskasvanud</v>
      </c>
      <c r="H463" t="str">
        <f t="shared" si="46"/>
        <v>1994</v>
      </c>
      <c r="I463" t="str">
        <f>"Õpetaja metskass"</f>
        <v>Õpetaja metskass</v>
      </c>
      <c r="J463" t="str">
        <f>"Riisen, Lembit"</f>
        <v>Riisen, Lembit</v>
      </c>
      <c r="K463" t="str">
        <f>"Harel, Tallinn"</f>
        <v>Harel, Tallinn</v>
      </c>
      <c r="L463" t="str">
        <f>""</f>
        <v/>
      </c>
      <c r="M463" t="str">
        <f>""</f>
        <v/>
      </c>
    </row>
    <row r="464" spans="1:13" ht="15">
      <c r="A464" t="s">
        <v>541</v>
      </c>
      <c r="B464" t="str">
        <f>"4363"</f>
        <v>4363</v>
      </c>
      <c r="C464" t="str">
        <f>"1927"</f>
        <v>1927</v>
      </c>
      <c r="D464" t="str">
        <f>"Älä nuolaise ennenkuin tipahtaa"</f>
        <v>Älä nuolaise ennenkuin tipahtaa</v>
      </c>
      <c r="E464" t="str">
        <f t="shared" si="45"/>
        <v>viro</v>
      </c>
      <c r="F464" t="str">
        <f>"romaanid; proosa"</f>
        <v>romaanid; proosa</v>
      </c>
      <c r="G464" t="str">
        <f>"  täiskasvanud"</f>
        <v xml:space="preserve">  täiskasvanud</v>
      </c>
      <c r="H464" t="str">
        <f t="shared" si="46"/>
        <v>1994</v>
      </c>
      <c r="I464" t="str">
        <f>"Ära hõiska enne õhtut"</f>
        <v>Ära hõiska enne õhtut</v>
      </c>
      <c r="J464" t="str">
        <f>"Karuste, A."</f>
        <v>Karuste, A.</v>
      </c>
      <c r="K464" t="str">
        <f>"Ronk, Tallinn"</f>
        <v>Ronk, Tallinn</v>
      </c>
      <c r="L464" t="str">
        <f>"2. p."</f>
        <v>2. p.</v>
      </c>
      <c r="M464" t="str">
        <f>""</f>
        <v/>
      </c>
    </row>
    <row r="465" spans="1:13" ht="15">
      <c r="A465" t="s">
        <v>563</v>
      </c>
      <c r="B465" t="str">
        <f>"4338"</f>
        <v>4338</v>
      </c>
      <c r="C465" t="str">
        <f>"1938"</f>
        <v>1938</v>
      </c>
      <c r="D465" t="str">
        <f>"Ihmeellinen Joosef, eli, Elämä on seikkailua"</f>
        <v>Ihmeellinen Joosef, eli, Elämä on seikkailua</v>
      </c>
      <c r="E465" t="str">
        <f t="shared" si="45"/>
        <v>viro</v>
      </c>
      <c r="F465" t="str">
        <f>"romaanid; proosa"</f>
        <v>romaanid; proosa</v>
      </c>
      <c r="G465" t="str">
        <f>"  täiskasvanud"</f>
        <v xml:space="preserve">  täiskasvanud</v>
      </c>
      <c r="H465" t="str">
        <f t="shared" si="46"/>
        <v>1994</v>
      </c>
      <c r="I465" t="str">
        <f>"Imeline Joosef, ehk, Elu on seiklus"</f>
        <v>Imeline Joosef, ehk, Elu on seiklus</v>
      </c>
      <c r="J465" t="str">
        <f>"Lepp, Andres"</f>
        <v>Lepp, Andres</v>
      </c>
      <c r="K465" t="str">
        <f>"Sinisukk, Tallinn"</f>
        <v>Sinisukk, Tallinn</v>
      </c>
      <c r="L465" t="str">
        <f>""</f>
        <v/>
      </c>
      <c r="M465" t="str">
        <f>"9985-812-12-3"</f>
        <v>9985-812-12-3</v>
      </c>
    </row>
    <row r="466" spans="1:13" ht="15">
      <c r="A466" t="s">
        <v>563</v>
      </c>
      <c r="B466" t="str">
        <f>"4436"</f>
        <v>4436</v>
      </c>
      <c r="C466" t="str">
        <f>"1942"</f>
        <v>1942</v>
      </c>
      <c r="D466" t="str">
        <f>"Kaarina Maununtytär"</f>
        <v>Kaarina Maununtytär</v>
      </c>
      <c r="E466" t="str">
        <f t="shared" si="45"/>
        <v>viro</v>
      </c>
      <c r="F466" t="str">
        <f>"romaanid; proosa"</f>
        <v>romaanid; proosa</v>
      </c>
      <c r="G466" t="str">
        <f>"  täiskasvanud"</f>
        <v xml:space="preserve">  täiskasvanud</v>
      </c>
      <c r="H466" t="str">
        <f t="shared" si="46"/>
        <v>1994</v>
      </c>
      <c r="I466" t="str">
        <f>"Karina Månsdotter"</f>
        <v>Karina Månsdotter</v>
      </c>
      <c r="J466" t="str">
        <f>"Lepp, Andres"</f>
        <v>Lepp, Andres</v>
      </c>
      <c r="K466" t="str">
        <f>"Sinisukk, Tallinn"</f>
        <v>Sinisukk, Tallinn</v>
      </c>
      <c r="L466" t="str">
        <f>""</f>
        <v/>
      </c>
      <c r="M466" t="str">
        <f>"9985-812-14-X"</f>
        <v>9985-812-14-X</v>
      </c>
    </row>
    <row r="467" spans="1:13" ht="15">
      <c r="A467" t="s">
        <v>563</v>
      </c>
      <c r="B467" t="str">
        <f>"4339"</f>
        <v>4339</v>
      </c>
      <c r="C467" t="str">
        <f>"1939"</f>
        <v>1939</v>
      </c>
      <c r="D467" t="str">
        <f>"Kuka murhasi rouva Skrofin?"</f>
        <v>Kuka murhasi rouva Skrofin?</v>
      </c>
      <c r="E467" t="str">
        <f t="shared" si="45"/>
        <v>viro</v>
      </c>
      <c r="F467" t="str">
        <f>"romaanid; põnevus- ja krimikirjandus; proosa"</f>
        <v>romaanid; põnevus- ja krimikirjandus; proosa</v>
      </c>
      <c r="G467" t="str">
        <f>"  täiskasvanud"</f>
        <v xml:space="preserve">  täiskasvanud</v>
      </c>
      <c r="H467" t="str">
        <f t="shared" si="46"/>
        <v>1994</v>
      </c>
      <c r="I467" t="str">
        <f>"Kes tappis proua Skrofi?"</f>
        <v>Kes tappis proua Skrofi?</v>
      </c>
      <c r="J467" t="str">
        <f>""</f>
        <v/>
      </c>
      <c r="K467" t="str">
        <f>"Ecotalent, Tallinn"</f>
        <v>Ecotalent, Tallinn</v>
      </c>
      <c r="L467" t="str">
        <f>""</f>
        <v/>
      </c>
      <c r="M467" t="str">
        <f>""</f>
        <v/>
      </c>
    </row>
    <row r="468" spans="1:13" ht="15">
      <c r="A468" t="s">
        <v>563</v>
      </c>
      <c r="B468" t="str">
        <f>"7762"</f>
        <v>7762</v>
      </c>
      <c r="C468" t="str">
        <f>"1939"</f>
        <v>1939</v>
      </c>
      <c r="D468" t="str">
        <f>"Kuka murhasi rouva Skrofin?"</f>
        <v>Kuka murhasi rouva Skrofin?</v>
      </c>
      <c r="E468" t="str">
        <f t="shared" si="45"/>
        <v>viro</v>
      </c>
      <c r="F468" t="str">
        <f>"romaanid; põnevus- ja krimikirjandus; proosa"</f>
        <v>romaanid; põnevus- ja krimikirjandus; proosa</v>
      </c>
      <c r="G468" t="str">
        <f>"  täiskasvanud"</f>
        <v xml:space="preserve">  täiskasvanud</v>
      </c>
      <c r="H468" t="str">
        <f t="shared" si="46"/>
        <v>1994</v>
      </c>
      <c r="I468" t="str">
        <f>"Kes tappis proua Skrofi?"</f>
        <v>Kes tappis proua Skrofi?</v>
      </c>
      <c r="J468" t="str">
        <f>"Paikre, Ants"</f>
        <v>Paikre, Ants</v>
      </c>
      <c r="K468" t="str">
        <f>"Eesti Raamat, Tallinn"</f>
        <v>Eesti Raamat, Tallinn</v>
      </c>
      <c r="L468" t="str">
        <f>""</f>
        <v/>
      </c>
      <c r="M468" t="str">
        <f>"5-450-01231-4"</f>
        <v>5-450-01231-4</v>
      </c>
    </row>
    <row r="469" spans="2:13" ht="15">
      <c r="B469" t="str">
        <f>"5851"</f>
        <v>5851</v>
      </c>
      <c r="C469" t="str">
        <f>""</f>
        <v/>
      </c>
      <c r="D469" t="str">
        <f>""</f>
        <v/>
      </c>
      <c r="E469" t="str">
        <f t="shared" si="45"/>
        <v>viro</v>
      </c>
      <c r="F469" t="str">
        <f>"muinasjutud; proosa"</f>
        <v>muinasjutud; proosa</v>
      </c>
      <c r="G469" t="str">
        <f>" lapsed ja noored"</f>
        <v xml:space="preserve"> lapsed ja noored</v>
      </c>
      <c r="H469" t="str">
        <f aca="true" t="shared" si="47" ref="H469:H496">"1995"</f>
        <v>1995</v>
      </c>
      <c r="I469" t="str">
        <f>"Sinine vöö"</f>
        <v>Sinine vöö</v>
      </c>
      <c r="J469" t="str">
        <f>"Ambur, Ene, Ambur, Paul"</f>
        <v>Ambur, Ene, Ambur, Paul</v>
      </c>
      <c r="K469" t="str">
        <f>"Eesti Raamat, Tallinn"</f>
        <v>Eesti Raamat, Tallinn</v>
      </c>
      <c r="L469" t="str">
        <f>""</f>
        <v/>
      </c>
      <c r="M469" t="str">
        <f>"9985-65-003-4"</f>
        <v>9985-65-003-4</v>
      </c>
    </row>
    <row r="470" spans="1:13" ht="15">
      <c r="A470" t="s">
        <v>32</v>
      </c>
      <c r="B470" t="str">
        <f>"4494"</f>
        <v>4494</v>
      </c>
      <c r="C470" t="str">
        <f>"1987"</f>
        <v>1987</v>
      </c>
      <c r="D470" t="str">
        <f>"Kreivi Bergin puolalainen masurkka"</f>
        <v>Kreivi Bergin puolalainen masurkka</v>
      </c>
      <c r="E470" t="str">
        <f t="shared" si="45"/>
        <v>viro</v>
      </c>
      <c r="F470" t="str">
        <f>"romaanid; proosa"</f>
        <v>romaanid; proosa</v>
      </c>
      <c r="G470" t="str">
        <f>"  täiskasvanud"</f>
        <v xml:space="preserve">  täiskasvanud</v>
      </c>
      <c r="H470" t="str">
        <f t="shared" si="47"/>
        <v>1995</v>
      </c>
      <c r="I470" t="str">
        <f>"Krahv Bergi poola mazurka"</f>
        <v>Krahv Bergi poola mazurka</v>
      </c>
      <c r="J470" t="str">
        <f>"Mäger, Mart"</f>
        <v>Mäger, Mart</v>
      </c>
      <c r="K470" t="str">
        <f>"Kupar, Tallinn"</f>
        <v>Kupar, Tallinn</v>
      </c>
      <c r="L470" t="str">
        <f>""</f>
        <v/>
      </c>
      <c r="M470" t="str">
        <f>"9985-61-057-1"</f>
        <v>9985-61-057-1</v>
      </c>
    </row>
    <row r="471" spans="1:13" ht="15">
      <c r="A471" t="s">
        <v>76</v>
      </c>
      <c r="B471" t="str">
        <f>"4474"</f>
        <v>4474</v>
      </c>
      <c r="C471" t="str">
        <f>"1993"</f>
        <v>1993</v>
      </c>
      <c r="D471" t="str">
        <f>"Sonja"</f>
        <v>Sonja</v>
      </c>
      <c r="E471" t="str">
        <f t="shared" si="45"/>
        <v>viro</v>
      </c>
      <c r="F471" t="str">
        <f>"romaanid; proosa"</f>
        <v>romaanid; proosa</v>
      </c>
      <c r="G471" t="str">
        <f>"  täiskasvanud"</f>
        <v xml:space="preserve">  täiskasvanud</v>
      </c>
      <c r="H471" t="str">
        <f t="shared" si="47"/>
        <v>1995</v>
      </c>
      <c r="I471" t="str">
        <f>"Vürstitar Sonja"</f>
        <v>Vürstitar Sonja</v>
      </c>
      <c r="J471" t="str">
        <f>"Karu, Anne, Vaarandi, Debora"</f>
        <v>Karu, Anne, Vaarandi, Debora</v>
      </c>
      <c r="K471" t="str">
        <f>"Eesti Raamat, Tallinn"</f>
        <v>Eesti Raamat, Tallinn</v>
      </c>
      <c r="L471" t="str">
        <f>""</f>
        <v/>
      </c>
      <c r="M471" t="str">
        <f>"5-450-02416-9"</f>
        <v>5-450-02416-9</v>
      </c>
    </row>
    <row r="472" spans="1:13" ht="15">
      <c r="A472" t="s">
        <v>117</v>
      </c>
      <c r="B472" t="str">
        <f>"9665"</f>
        <v>9665</v>
      </c>
      <c r="C472" t="str">
        <f>"1954"</f>
        <v>1954</v>
      </c>
      <c r="D472" t="str">
        <f>"Farlig midsommar"</f>
        <v>Farlig midsommar</v>
      </c>
      <c r="E472" t="str">
        <f t="shared" si="45"/>
        <v>viro</v>
      </c>
      <c r="F472" t="str">
        <f>"proosa"</f>
        <v>proosa</v>
      </c>
      <c r="G472" t="str">
        <f>" lapsed ja noored"</f>
        <v xml:space="preserve"> lapsed ja noored</v>
      </c>
      <c r="H472" t="str">
        <f t="shared" si="47"/>
        <v>1995</v>
      </c>
      <c r="I472" t="str">
        <f>"Ohtlik jaanipäev"</f>
        <v>Ohtlik jaanipäev</v>
      </c>
      <c r="J472" t="str">
        <f>"Raukas, Elo"</f>
        <v>Raukas, Elo</v>
      </c>
      <c r="K472" t="str">
        <f>"Tiritamm, Tallinn"</f>
        <v>Tiritamm, Tallinn</v>
      </c>
      <c r="L472" t="str">
        <f>""</f>
        <v/>
      </c>
      <c r="M472" t="str">
        <f>"9985-55-024-2"</f>
        <v>9985-55-024-2</v>
      </c>
    </row>
    <row r="473" spans="1:13" ht="15">
      <c r="A473" t="s">
        <v>117</v>
      </c>
      <c r="B473" t="str">
        <f>"4441"</f>
        <v>4441</v>
      </c>
      <c r="C473" t="str">
        <f>"1968"</f>
        <v>1968</v>
      </c>
      <c r="D473" t="str">
        <f>"Kometen kommer"</f>
        <v>Kometen kommer</v>
      </c>
      <c r="E473" t="str">
        <f t="shared" si="45"/>
        <v>viro</v>
      </c>
      <c r="F473" t="str">
        <f>"proosa"</f>
        <v>proosa</v>
      </c>
      <c r="G473" t="str">
        <f>" lapsed ja noored"</f>
        <v xml:space="preserve"> lapsed ja noored</v>
      </c>
      <c r="H473" t="str">
        <f t="shared" si="47"/>
        <v>1995</v>
      </c>
      <c r="I473" t="str">
        <f>"Sabatäht"</f>
        <v>Sabatäht</v>
      </c>
      <c r="J473" t="str">
        <f>"Raukas, Elo"</f>
        <v>Raukas, Elo</v>
      </c>
      <c r="K473" t="str">
        <f>"Tiritamm, Tallinn"</f>
        <v>Tiritamm, Tallinn</v>
      </c>
      <c r="L473" t="str">
        <f>""</f>
        <v/>
      </c>
      <c r="M473" t="str">
        <f>"9985-55-021-8"</f>
        <v>9985-55-021-8</v>
      </c>
    </row>
    <row r="474" spans="1:13" ht="15">
      <c r="A474" t="s">
        <v>117</v>
      </c>
      <c r="B474" t="str">
        <f>"4500"</f>
        <v>4500</v>
      </c>
      <c r="C474" t="str">
        <f>"1970"</f>
        <v>1970</v>
      </c>
      <c r="D474" t="str">
        <f>"Sent i november"</f>
        <v>Sent i november</v>
      </c>
      <c r="E474" t="str">
        <f t="shared" si="45"/>
        <v>viro</v>
      </c>
      <c r="F474" t="str">
        <f>"proosa"</f>
        <v>proosa</v>
      </c>
      <c r="G474" t="str">
        <f>" lapsed ja noored"</f>
        <v xml:space="preserve"> lapsed ja noored</v>
      </c>
      <c r="H474" t="str">
        <f t="shared" si="47"/>
        <v>1995</v>
      </c>
      <c r="I474" t="str">
        <f>"Hilja novembris"</f>
        <v>Hilja novembris</v>
      </c>
      <c r="J474" t="str">
        <f>"Raukas, Elo"</f>
        <v>Raukas, Elo</v>
      </c>
      <c r="K474" t="str">
        <f>"Tiritamm, Tallinn"</f>
        <v>Tiritamm, Tallinn</v>
      </c>
      <c r="L474" t="str">
        <f>""</f>
        <v/>
      </c>
      <c r="M474" t="str">
        <f>"9985-55-020-X"</f>
        <v>9985-55-020-X</v>
      </c>
    </row>
    <row r="475" spans="1:13" ht="15">
      <c r="A475" t="s">
        <v>117</v>
      </c>
      <c r="B475" t="str">
        <f>"4502"</f>
        <v>4502</v>
      </c>
      <c r="C475" t="str">
        <f>"1972"</f>
        <v>1972</v>
      </c>
      <c r="D475" t="str">
        <f>"Sommarboken"</f>
        <v>Sommarboken</v>
      </c>
      <c r="E475" t="str">
        <f t="shared" si="45"/>
        <v>viro</v>
      </c>
      <c r="F475" t="str">
        <f>"romaanid; proosa"</f>
        <v>romaanid; proosa</v>
      </c>
      <c r="G475" t="str">
        <f>"  täiskasvanud"</f>
        <v xml:space="preserve">  täiskasvanud</v>
      </c>
      <c r="H475" t="str">
        <f t="shared" si="47"/>
        <v>1995</v>
      </c>
      <c r="I475" t="str">
        <f>"Suveraamat"</f>
        <v>Suveraamat</v>
      </c>
      <c r="J475" t="str">
        <f>"Arnover, Tõnis"</f>
        <v>Arnover, Tõnis</v>
      </c>
      <c r="K475" t="str">
        <f>"Eesti Raamat, Tallinn"</f>
        <v>Eesti Raamat, Tallinn</v>
      </c>
      <c r="L475" t="str">
        <f>""</f>
        <v/>
      </c>
      <c r="M475" t="str">
        <f>"9985-65-001-8"</f>
        <v>9985-65-001-8</v>
      </c>
    </row>
    <row r="476" spans="1:13" ht="15">
      <c r="A476" t="s">
        <v>120</v>
      </c>
      <c r="B476" t="str">
        <f>"4507"</f>
        <v>4507</v>
      </c>
      <c r="C476" t="str">
        <f>"1985"</f>
        <v>1985</v>
      </c>
      <c r="D476" t="str">
        <f>"Harjunpää ja rakkauden lait"</f>
        <v>Harjunpää ja rakkauden lait</v>
      </c>
      <c r="E476" t="str">
        <f t="shared" si="45"/>
        <v>viro</v>
      </c>
      <c r="F476" t="str">
        <f>"romaanid; põnevus- ja krimikirjandus; proosa"</f>
        <v>romaanid; põnevus- ja krimikirjandus; proosa</v>
      </c>
      <c r="G476" t="str">
        <f>"  täiskasvanud"</f>
        <v xml:space="preserve">  täiskasvanud</v>
      </c>
      <c r="H476" t="str">
        <f t="shared" si="47"/>
        <v>1995</v>
      </c>
      <c r="I476" t="str">
        <f>"Harjunpää ja armastuse seadused"</f>
        <v>Harjunpää ja armastuse seadused</v>
      </c>
      <c r="J476" t="str">
        <f>"Mallene, Endel"</f>
        <v>Mallene, Endel</v>
      </c>
      <c r="K476" t="str">
        <f>"Kupar, Tallinn"</f>
        <v>Kupar, Tallinn</v>
      </c>
      <c r="L476" t="str">
        <f>""</f>
        <v/>
      </c>
      <c r="M476" t="str">
        <f>"9985-61-044-X"</f>
        <v>9985-61-044-X</v>
      </c>
    </row>
    <row r="477" spans="1:13" ht="15">
      <c r="A477" t="s">
        <v>120</v>
      </c>
      <c r="B477" t="str">
        <f>"4503"</f>
        <v>4503</v>
      </c>
      <c r="C477" t="str">
        <f>"1993"</f>
        <v>1993</v>
      </c>
      <c r="D477" t="str">
        <f>"Harjunpää ja rakkauden nälkä"</f>
        <v>Harjunpää ja rakkauden nälkä</v>
      </c>
      <c r="E477" t="str">
        <f t="shared" si="45"/>
        <v>viro</v>
      </c>
      <c r="F477" t="str">
        <f>"romaanid; põnevus- ja krimikirjandus; proosa"</f>
        <v>romaanid; põnevus- ja krimikirjandus; proosa</v>
      </c>
      <c r="G477" t="str">
        <f>"  täiskasvanud"</f>
        <v xml:space="preserve">  täiskasvanud</v>
      </c>
      <c r="H477" t="str">
        <f t="shared" si="47"/>
        <v>1995</v>
      </c>
      <c r="I477" t="str">
        <f>"Harjunpää ja armastuse nälg"</f>
        <v>Harjunpää ja armastuse nälg</v>
      </c>
      <c r="J477" t="str">
        <f>"Vaba, Mari"</f>
        <v>Vaba, Mari</v>
      </c>
      <c r="K477" t="str">
        <f>"Eesti Raamat, Tallinn"</f>
        <v>Eesti Raamat, Tallinn</v>
      </c>
      <c r="L477" t="str">
        <f>""</f>
        <v/>
      </c>
      <c r="M477" t="str">
        <f>"5-450-02421-5"</f>
        <v>5-450-02421-5</v>
      </c>
    </row>
    <row r="478" spans="1:13" ht="15">
      <c r="A478" t="s">
        <v>167</v>
      </c>
      <c r="B478" t="str">
        <f>"5854"</f>
        <v>5854</v>
      </c>
      <c r="C478" t="str">
        <f>"1986"</f>
        <v>1986</v>
      </c>
      <c r="D478" t="str">
        <f>"Herkuttelijan kasvisruokia"</f>
        <v>Herkuttelijan kasvisruokia</v>
      </c>
      <c r="E478" t="str">
        <f t="shared" si="45"/>
        <v>viro</v>
      </c>
      <c r="F478" t="str">
        <f>""</f>
        <v/>
      </c>
      <c r="G478" t="str">
        <f>"  täiskasvanud"</f>
        <v xml:space="preserve">  täiskasvanud</v>
      </c>
      <c r="H478" t="str">
        <f t="shared" si="47"/>
        <v>1995</v>
      </c>
      <c r="I478" t="str">
        <f>"Saadikuproua hõrgutisi"</f>
        <v>Saadikuproua hõrgutisi</v>
      </c>
      <c r="J478" t="str">
        <f>"Ilves, Aet, Ree, Piret"</f>
        <v>Ilves, Aet, Ree, Piret</v>
      </c>
      <c r="K478" t="str">
        <f>"Perioodika, Tallinn"</f>
        <v>Perioodika, Tallinn</v>
      </c>
      <c r="L478" t="str">
        <f>""</f>
        <v/>
      </c>
      <c r="M478" t="str">
        <f>"5-7979-0580-9"</f>
        <v>5-7979-0580-9</v>
      </c>
    </row>
    <row r="479" spans="1:13" ht="15">
      <c r="A479" t="s">
        <v>194</v>
      </c>
      <c r="B479" t="str">
        <f>"4459"</f>
        <v>4459</v>
      </c>
      <c r="C479" t="str">
        <f>"1973"</f>
        <v>1973</v>
      </c>
      <c r="D479" t="str">
        <f>"Eläintarha olohuoneessamme"</f>
        <v>Eläintarha olohuoneessamme</v>
      </c>
      <c r="E479" t="str">
        <f t="shared" si="45"/>
        <v>viro</v>
      </c>
      <c r="F479" t="str">
        <f>""</f>
        <v/>
      </c>
      <c r="G479" t="str">
        <f>"  täiskasvanud"</f>
        <v xml:space="preserve">  täiskasvanud</v>
      </c>
      <c r="H479" t="str">
        <f t="shared" si="47"/>
        <v>1995</v>
      </c>
      <c r="I479" t="str">
        <f>"Loomaaed elutoas"</f>
        <v>Loomaaed elutoas</v>
      </c>
      <c r="J479" t="str">
        <f>"Kaal, Virve"</f>
        <v>Kaal, Virve</v>
      </c>
      <c r="K479" t="str">
        <f>"Valgus, Tallinn"</f>
        <v>Valgus, Tallinn</v>
      </c>
      <c r="L479" t="str">
        <f>""</f>
        <v/>
      </c>
      <c r="M479" t="str">
        <f>""</f>
        <v/>
      </c>
    </row>
    <row r="480" spans="1:13" ht="15">
      <c r="A480" t="s">
        <v>252</v>
      </c>
      <c r="B480" t="str">
        <f>"5856"</f>
        <v>5856</v>
      </c>
      <c r="C480" t="str">
        <f>"1994"</f>
        <v>1994</v>
      </c>
      <c r="D480" t="str">
        <f>"Onnellinen kasvissyöjä"</f>
        <v>Onnellinen kasvissyöjä</v>
      </c>
      <c r="E480" t="str">
        <f t="shared" si="45"/>
        <v>viro</v>
      </c>
      <c r="F480" t="str">
        <f>""</f>
        <v/>
      </c>
      <c r="G480" t="str">
        <f>"  täiskasvanud"</f>
        <v xml:space="preserve">  täiskasvanud</v>
      </c>
      <c r="H480" t="str">
        <f t="shared" si="47"/>
        <v>1995</v>
      </c>
      <c r="I480" t="str">
        <f>"Taimetoidud"</f>
        <v>Taimetoidud</v>
      </c>
      <c r="J480" t="str">
        <f>"Väinsaar, Tiiu"</f>
        <v>Väinsaar, Tiiu</v>
      </c>
      <c r="K480" t="str">
        <f>"Maalehe raamat, Tallinn"</f>
        <v>Maalehe raamat, Tallinn</v>
      </c>
      <c r="L480" t="str">
        <f>""</f>
        <v/>
      </c>
      <c r="M480" t="str">
        <f>"9985-64-002-0"</f>
        <v>9985-64-002-0</v>
      </c>
    </row>
    <row r="481" spans="1:13" ht="15">
      <c r="A481" t="s">
        <v>268</v>
      </c>
      <c r="B481" t="str">
        <f>"4460"</f>
        <v>4460</v>
      </c>
      <c r="C481" t="str">
        <f>"1989"</f>
        <v>1989</v>
      </c>
      <c r="D481" t="str">
        <f>"Oman koiran hoito"</f>
        <v>Oman koiran hoito</v>
      </c>
      <c r="E481" t="str">
        <f t="shared" si="45"/>
        <v>viro</v>
      </c>
      <c r="F481" t="str">
        <f>""</f>
        <v/>
      </c>
      <c r="G481" t="str">
        <f>"  täiskasvanud"</f>
        <v xml:space="preserve">  täiskasvanud</v>
      </c>
      <c r="H481" t="str">
        <f t="shared" si="47"/>
        <v>1995</v>
      </c>
      <c r="I481" t="str">
        <f>"Hoia oma koera koonust sabaotsani"</f>
        <v>Hoia oma koera koonust sabaotsani</v>
      </c>
      <c r="J481" t="str">
        <f>"Jõgila, Riina"</f>
        <v>Jõgila, Riina</v>
      </c>
      <c r="K481" t="str">
        <f>"Ilo, Tallinn"</f>
        <v>Ilo, Tallinn</v>
      </c>
      <c r="L481" t="str">
        <f>""</f>
        <v/>
      </c>
      <c r="M481" t="str">
        <f>"9985-57-036-7"</f>
        <v>9985-57-036-7</v>
      </c>
    </row>
    <row r="482" spans="1:13" ht="15">
      <c r="A482" t="s">
        <v>274</v>
      </c>
      <c r="B482" t="str">
        <f>"4440"</f>
        <v>4440</v>
      </c>
      <c r="C482" t="str">
        <f>"1977"</f>
        <v>1977</v>
      </c>
      <c r="D482" t="str">
        <f>"Pihalla kasvaa lammaskaali"</f>
        <v>Pihalla kasvaa lammaskaali</v>
      </c>
      <c r="E482" t="str">
        <f t="shared" si="45"/>
        <v>viro</v>
      </c>
      <c r="F482" t="str">
        <f>""</f>
        <v/>
      </c>
      <c r="G482" t="str">
        <f>"  täiskasvanud"</f>
        <v xml:space="preserve">  täiskasvanud</v>
      </c>
      <c r="H482" t="str">
        <f t="shared" si="47"/>
        <v>1995</v>
      </c>
      <c r="I482" t="str">
        <f>"Aias kasvab ühepajatoit"</f>
        <v>Aias kasvab ühepajatoit</v>
      </c>
      <c r="J482" t="str">
        <f>"Esko, Marie"</f>
        <v>Esko, Marie</v>
      </c>
      <c r="K482" t="str">
        <f>"Sinisukk, Tallinn"</f>
        <v>Sinisukk, Tallinn</v>
      </c>
      <c r="L482" t="str">
        <f>""</f>
        <v/>
      </c>
      <c r="M482" t="str">
        <f>"9985-812-19-0"</f>
        <v>9985-812-19-0</v>
      </c>
    </row>
    <row r="483" spans="1:13" ht="15">
      <c r="A483" t="s">
        <v>293</v>
      </c>
      <c r="B483" t="str">
        <f>"5942"</f>
        <v>5942</v>
      </c>
      <c r="C483" t="str">
        <f>"1993"</f>
        <v>1993</v>
      </c>
      <c r="D483" t="str">
        <f>"Muumimamman keittokirja"</f>
        <v>Muumimamman keittokirja</v>
      </c>
      <c r="E483" t="str">
        <f t="shared" si="45"/>
        <v>viro</v>
      </c>
      <c r="F483" t="str">
        <f>""</f>
        <v/>
      </c>
      <c r="G483" t="str">
        <f>" lapsed ja noored"</f>
        <v xml:space="preserve"> lapsed ja noored</v>
      </c>
      <c r="H483" t="str">
        <f t="shared" si="47"/>
        <v>1995</v>
      </c>
      <c r="I483" t="str">
        <f>"Muumimamma kokaraamat"</f>
        <v>Muumimamma kokaraamat</v>
      </c>
      <c r="J483" t="str">
        <f>"Esko, Marie"</f>
        <v>Esko, Marie</v>
      </c>
      <c r="K483" t="str">
        <f>"Sinisukk, Tallinn"</f>
        <v>Sinisukk, Tallinn</v>
      </c>
      <c r="L483" t="str">
        <f>""</f>
        <v/>
      </c>
      <c r="M483" t="str">
        <f>"9985-812-37-9"</f>
        <v>9985-812-37-9</v>
      </c>
    </row>
    <row r="484" spans="1:13" ht="15">
      <c r="A484" t="s">
        <v>301</v>
      </c>
      <c r="B484" t="str">
        <f>"5842"</f>
        <v>5842</v>
      </c>
      <c r="C484" t="str">
        <f>"1965"</f>
        <v>1965</v>
      </c>
      <c r="D484" t="str">
        <f>"Prinsessan"</f>
        <v>Prinsessan</v>
      </c>
      <c r="E484" t="str">
        <f t="shared" si="45"/>
        <v>viro</v>
      </c>
      <c r="F484" t="str">
        <f>"romaanid; proosa"</f>
        <v>romaanid; proosa</v>
      </c>
      <c r="G484" t="str">
        <f>"  täiskasvanud"</f>
        <v xml:space="preserve">  täiskasvanud</v>
      </c>
      <c r="H484" t="str">
        <f t="shared" si="47"/>
        <v>1995</v>
      </c>
      <c r="I484" t="str">
        <f>"Printsess"</f>
        <v>Printsess</v>
      </c>
      <c r="J484" t="str">
        <f>"Laprik, Peep"</f>
        <v>Laprik, Peep</v>
      </c>
      <c r="K484" t="str">
        <f>"Olion, Tallinn"</f>
        <v>Olion, Tallinn</v>
      </c>
      <c r="L484" t="str">
        <f>""</f>
        <v/>
      </c>
      <c r="M484" t="str">
        <f>"5-460-00111-0"</f>
        <v>5-460-00111-0</v>
      </c>
    </row>
    <row r="485" spans="1:13" ht="15">
      <c r="A485" t="s">
        <v>318</v>
      </c>
      <c r="B485" t="str">
        <f>"4439"</f>
        <v>4439</v>
      </c>
      <c r="C485" t="str">
        <f>"1964"</f>
        <v>1964</v>
      </c>
      <c r="D485" t="str">
        <f>"Maa on syntinen laulu"</f>
        <v>Maa on syntinen laulu</v>
      </c>
      <c r="E485" t="str">
        <f t="shared" si="45"/>
        <v>viro</v>
      </c>
      <c r="F485" t="str">
        <f>"romaanid; proosa"</f>
        <v>romaanid; proosa</v>
      </c>
      <c r="G485" t="str">
        <f>"  täiskasvanud"</f>
        <v xml:space="preserve">  täiskasvanud</v>
      </c>
      <c r="H485" t="str">
        <f t="shared" si="47"/>
        <v>1995</v>
      </c>
      <c r="I485" t="str">
        <f>"Maa on patune laul"</f>
        <v>Maa on patune laul</v>
      </c>
      <c r="J485" t="str">
        <f>"Lõhmus, Maarja"</f>
        <v>Lõhmus, Maarja</v>
      </c>
      <c r="K485" t="str">
        <f>"Ilmamaa, Tartu"</f>
        <v>Ilmamaa, Tartu</v>
      </c>
      <c r="L485" t="str">
        <f>""</f>
        <v/>
      </c>
      <c r="M485" t="str">
        <f>""</f>
        <v/>
      </c>
    </row>
    <row r="486" spans="1:13" ht="15">
      <c r="A486" t="s">
        <v>321</v>
      </c>
      <c r="B486" t="str">
        <f>"4450"</f>
        <v>4450</v>
      </c>
      <c r="C486" t="str">
        <f>"1973"</f>
        <v>1973</v>
      </c>
      <c r="D486" t="str">
        <f>"Herra Huu"</f>
        <v>Herra Huu</v>
      </c>
      <c r="E486" t="str">
        <f t="shared" si="45"/>
        <v>viro</v>
      </c>
      <c r="F486" t="str">
        <f>"proosa"</f>
        <v>proosa</v>
      </c>
      <c r="G486" t="str">
        <f>" lapsed ja noored"</f>
        <v xml:space="preserve"> lapsed ja noored</v>
      </c>
      <c r="H486" t="str">
        <f t="shared" si="47"/>
        <v>1995</v>
      </c>
      <c r="I486" t="str">
        <f>"Härra Huu"</f>
        <v>Härra Huu</v>
      </c>
      <c r="J486" t="str">
        <f>"Niit, Ellen, Saluri, Piret"</f>
        <v>Niit, Ellen, Saluri, Piret</v>
      </c>
      <c r="K486" t="str">
        <f>"Tiritamm, Tallinn"</f>
        <v>Tiritamm, Tallinn</v>
      </c>
      <c r="L486" t="str">
        <f>""</f>
        <v/>
      </c>
      <c r="M486" t="str">
        <f>"9985-55-019-6"</f>
        <v>9985-55-019-6</v>
      </c>
    </row>
    <row r="487" spans="1:13" ht="15">
      <c r="A487" t="s">
        <v>321</v>
      </c>
      <c r="B487" t="str">
        <f>"9638"</f>
        <v>9638</v>
      </c>
      <c r="C487" t="str">
        <f>"1974"</f>
        <v>1974</v>
      </c>
      <c r="D487" t="str">
        <f>"Herra Huu saa naapurin"</f>
        <v>Herra Huu saa naapurin</v>
      </c>
      <c r="E487" t="str">
        <f t="shared" si="45"/>
        <v>viro</v>
      </c>
      <c r="F487" t="str">
        <f>"proosa"</f>
        <v>proosa</v>
      </c>
      <c r="G487" t="str">
        <f>" lapsed ja noored"</f>
        <v xml:space="preserve"> lapsed ja noored</v>
      </c>
      <c r="H487" t="str">
        <f t="shared" si="47"/>
        <v>1995</v>
      </c>
      <c r="I487" t="str">
        <f>"Härra Huu saab naabri"</f>
        <v>Härra Huu saab naabri</v>
      </c>
      <c r="J487" t="str">
        <f>"Niit, Ellen, Saluri, Piret"</f>
        <v>Niit, Ellen, Saluri, Piret</v>
      </c>
      <c r="K487" t="str">
        <f>"Tiritamm, Tallinn"</f>
        <v>Tiritamm, Tallinn</v>
      </c>
      <c r="L487" t="str">
        <f>""</f>
        <v/>
      </c>
      <c r="M487" t="str">
        <f>"9985-55-022-6"</f>
        <v>9985-55-022-6</v>
      </c>
    </row>
    <row r="488" spans="1:13" ht="15">
      <c r="A488" t="s">
        <v>321</v>
      </c>
      <c r="B488" t="str">
        <f>"5846"</f>
        <v>5846</v>
      </c>
      <c r="C488" t="str">
        <f>""</f>
        <v/>
      </c>
      <c r="D488" t="str">
        <f>"Pekka Peloton"</f>
        <v>Pekka Peloton</v>
      </c>
      <c r="E488" t="str">
        <f t="shared" si="45"/>
        <v>viro</v>
      </c>
      <c r="F488" t="str">
        <f>"proosa"</f>
        <v>proosa</v>
      </c>
      <c r="G488" t="str">
        <f>" lapsed ja noored"</f>
        <v xml:space="preserve"> lapsed ja noored</v>
      </c>
      <c r="H488" t="str">
        <f t="shared" si="47"/>
        <v>1995</v>
      </c>
      <c r="I488" t="str">
        <f>"Pekka Kartmatu ; Kalle Juhani ja tema sõbrad ; Muinasjutt tüdrukust, kes otsis õnne"</f>
        <v>Pekka Kartmatu ; Kalle Juhani ja tema sõbrad ; Muinasjutt tüdrukust, kes otsis õnne</v>
      </c>
      <c r="J488" t="str">
        <f>"Saluri, Piret"</f>
        <v>Saluri, Piret</v>
      </c>
      <c r="K488" t="str">
        <f>"Tiritamm, Tallinn"</f>
        <v>Tiritamm, Tallinn</v>
      </c>
      <c r="L488" t="str">
        <f>""</f>
        <v/>
      </c>
      <c r="M488" t="str">
        <f>"9985-55-015-3"</f>
        <v>9985-55-015-3</v>
      </c>
    </row>
    <row r="489" spans="1:13" ht="15">
      <c r="A489" t="s">
        <v>344</v>
      </c>
      <c r="B489" t="str">
        <f>"4460"</f>
        <v>4460</v>
      </c>
      <c r="C489" t="str">
        <f>"1989"</f>
        <v>1989</v>
      </c>
      <c r="D489" t="str">
        <f>"Oman koiran hoito"</f>
        <v>Oman koiran hoito</v>
      </c>
      <c r="E489" t="str">
        <f t="shared" si="45"/>
        <v>viro</v>
      </c>
      <c r="F489" t="str">
        <f>""</f>
        <v/>
      </c>
      <c r="G489" t="str">
        <f>"  täiskasvanud"</f>
        <v xml:space="preserve">  täiskasvanud</v>
      </c>
      <c r="H489" t="str">
        <f t="shared" si="47"/>
        <v>1995</v>
      </c>
      <c r="I489" t="str">
        <f>"Hoia oma koera koonust sabaotsani"</f>
        <v>Hoia oma koera koonust sabaotsani</v>
      </c>
      <c r="J489" t="str">
        <f>"Jõgila, Riina"</f>
        <v>Jõgila, Riina</v>
      </c>
      <c r="K489" t="str">
        <f>"Ilo, Tallinn"</f>
        <v>Ilo, Tallinn</v>
      </c>
      <c r="L489" t="str">
        <f>""</f>
        <v/>
      </c>
      <c r="M489" t="str">
        <f>"9985-57-036-7"</f>
        <v>9985-57-036-7</v>
      </c>
    </row>
    <row r="490" spans="1:13" ht="15">
      <c r="A490" t="s">
        <v>356</v>
      </c>
      <c r="B490" t="str">
        <f>"4590"</f>
        <v>4590</v>
      </c>
      <c r="C490" t="str">
        <f>"1975"</f>
        <v>1975</v>
      </c>
      <c r="D490" t="str">
        <f>"Jäniksen vuosi"</f>
        <v>Jäniksen vuosi</v>
      </c>
      <c r="E490" t="str">
        <f t="shared" si="45"/>
        <v>viro</v>
      </c>
      <c r="F490" t="str">
        <f>"romaanid; proosa"</f>
        <v>romaanid; proosa</v>
      </c>
      <c r="G490" t="str">
        <f>"  täiskasvanud"</f>
        <v xml:space="preserve">  täiskasvanud</v>
      </c>
      <c r="H490" t="str">
        <f t="shared" si="47"/>
        <v>1995</v>
      </c>
      <c r="I490" t="str">
        <f>"Jänese aasta"</f>
        <v>Jänese aasta</v>
      </c>
      <c r="J490" t="str">
        <f>"Kiin, Sirje"</f>
        <v>Kiin, Sirje</v>
      </c>
      <c r="K490" t="str">
        <f>"Perioodika, Tallinn"</f>
        <v>Perioodika, Tallinn</v>
      </c>
      <c r="L490" t="str">
        <f>""</f>
        <v/>
      </c>
      <c r="M490" t="str">
        <f>""</f>
        <v/>
      </c>
    </row>
    <row r="491" spans="1:13" ht="15">
      <c r="A491" t="s">
        <v>485</v>
      </c>
      <c r="B491" t="str">
        <f>"4465"</f>
        <v>4465</v>
      </c>
      <c r="C491" t="str">
        <f>"1982"</f>
        <v>1982</v>
      </c>
      <c r="D491" t="str">
        <f>"Onnen metsämies"</f>
        <v>Onnen metsämies</v>
      </c>
      <c r="E491" t="str">
        <f t="shared" si="45"/>
        <v>viro</v>
      </c>
      <c r="F491" t="str">
        <f>"romaanid; proosa"</f>
        <v>romaanid; proosa</v>
      </c>
      <c r="G491" t="str">
        <f>"  täiskasvanud"</f>
        <v xml:space="preserve">  täiskasvanud</v>
      </c>
      <c r="H491" t="str">
        <f t="shared" si="47"/>
        <v>1995</v>
      </c>
      <c r="I491" t="str">
        <f>"Õnnekütt"</f>
        <v>Õnnekütt</v>
      </c>
      <c r="J491" t="str">
        <f>"Kokla, Tiiu"</f>
        <v>Kokla, Tiiu</v>
      </c>
      <c r="K491" t="str">
        <f>"Eesti Raamat, Tallinn"</f>
        <v>Eesti Raamat, Tallinn</v>
      </c>
      <c r="L491" t="str">
        <f>""</f>
        <v/>
      </c>
      <c r="M491" t="str">
        <f>"5-450-02240-2 (virh.)"</f>
        <v>5-450-02240-2 (virh.)</v>
      </c>
    </row>
    <row r="492" spans="1:13" ht="15">
      <c r="A492" t="s">
        <v>533</v>
      </c>
      <c r="B492" t="str">
        <f>"4481"</f>
        <v>4481</v>
      </c>
      <c r="C492" t="str">
        <f>"1995"</f>
        <v>1995</v>
      </c>
      <c r="D492" t="str">
        <f>"Kuukiven kevät"</f>
        <v>Kuukiven kevät</v>
      </c>
      <c r="E492" t="str">
        <f t="shared" si="45"/>
        <v>viro</v>
      </c>
      <c r="F492" t="str">
        <f>"romaanid; proosa"</f>
        <v>romaanid; proosa</v>
      </c>
      <c r="G492" t="str">
        <f>"  täiskasvanud"</f>
        <v xml:space="preserve">  täiskasvanud</v>
      </c>
      <c r="H492" t="str">
        <f t="shared" si="47"/>
        <v>1995</v>
      </c>
      <c r="I492" t="str">
        <f>"Kuukivi kevad"</f>
        <v>Kuukivi kevad</v>
      </c>
      <c r="J492" t="str">
        <f>"Lepp, Andres"</f>
        <v>Lepp, Andres</v>
      </c>
      <c r="K492" t="str">
        <f>"Sinisukk, Tallinn"</f>
        <v>Sinisukk, Tallinn</v>
      </c>
      <c r="L492" t="str">
        <f>""</f>
        <v/>
      </c>
      <c r="M492" t="str">
        <f>"9985-812-28-X"</f>
        <v>9985-812-28-X</v>
      </c>
    </row>
    <row r="493" spans="1:13" ht="15">
      <c r="A493" t="s">
        <v>533</v>
      </c>
      <c r="B493" t="str">
        <f>"4442"</f>
        <v>4442</v>
      </c>
      <c r="C493" t="str">
        <f>"1976"</f>
        <v>1976</v>
      </c>
      <c r="D493" t="str">
        <f>"Pappilan neidot"</f>
        <v>Pappilan neidot</v>
      </c>
      <c r="E493" t="str">
        <f t="shared" si="45"/>
        <v>viro</v>
      </c>
      <c r="F493" t="str">
        <f>"romaanid; proosa"</f>
        <v>romaanid; proosa</v>
      </c>
      <c r="G493" t="str">
        <f>"  täiskasvanud"</f>
        <v xml:space="preserve">  täiskasvanud</v>
      </c>
      <c r="H493" t="str">
        <f t="shared" si="47"/>
        <v>1995</v>
      </c>
      <c r="I493" t="str">
        <f>"Kirikla neiud"</f>
        <v>Kirikla neiud</v>
      </c>
      <c r="J493" t="str">
        <f>"Luiga, Meida"</f>
        <v>Luiga, Meida</v>
      </c>
      <c r="K493" t="str">
        <f>"Sinisukk, Tallinn"</f>
        <v>Sinisukk, Tallinn</v>
      </c>
      <c r="L493" t="str">
        <f>""</f>
        <v/>
      </c>
      <c r="M493" t="str">
        <f>"9985-812-23-9"</f>
        <v>9985-812-23-9</v>
      </c>
    </row>
    <row r="494" spans="1:13" ht="15">
      <c r="A494" t="s">
        <v>541</v>
      </c>
      <c r="B494" t="str">
        <f>"10201"</f>
        <v>10201</v>
      </c>
      <c r="C494" t="str">
        <f>"1935"</f>
        <v>1935</v>
      </c>
      <c r="D494" t="str">
        <f>"Tarvaatar"</f>
        <v>Tarvaatar</v>
      </c>
      <c r="E494" t="str">
        <f t="shared" si="45"/>
        <v>viro</v>
      </c>
      <c r="F494" t="str">
        <f>"romaanid; proosa"</f>
        <v>romaanid; proosa</v>
      </c>
      <c r="G494" t="str">
        <f>"  täiskasvanud"</f>
        <v xml:space="preserve">  täiskasvanud</v>
      </c>
      <c r="H494" t="str">
        <f t="shared" si="47"/>
        <v>1995</v>
      </c>
      <c r="I494" t="str">
        <f>"Tarvaala peretütar"</f>
        <v>Tarvaala peretütar</v>
      </c>
      <c r="J494" t="str">
        <f>"Madaras, J."</f>
        <v>Madaras, J.</v>
      </c>
      <c r="K494" t="str">
        <f>"Ronk, Tallinn"</f>
        <v>Ronk, Tallinn</v>
      </c>
      <c r="L494" t="str">
        <f>""</f>
        <v/>
      </c>
      <c r="M494" t="str">
        <f>""</f>
        <v/>
      </c>
    </row>
    <row r="495" spans="1:13" ht="15">
      <c r="A495" t="s">
        <v>563</v>
      </c>
      <c r="B495" t="str">
        <f>"4515"</f>
        <v>4515</v>
      </c>
      <c r="C495" t="str">
        <f>"1952"</f>
        <v>1952</v>
      </c>
      <c r="D495" t="str">
        <f>"Johannes Angelos"</f>
        <v>Johannes Angelos</v>
      </c>
      <c r="E495" t="str">
        <f aca="true" t="shared" si="48" ref="E495:E558">"viro"</f>
        <v>viro</v>
      </c>
      <c r="F495" t="str">
        <f>"romaanid; proosa"</f>
        <v>romaanid; proosa</v>
      </c>
      <c r="G495" t="str">
        <f>"  täiskasvanud"</f>
        <v xml:space="preserve">  täiskasvanud</v>
      </c>
      <c r="H495" t="str">
        <f t="shared" si="47"/>
        <v>1995</v>
      </c>
      <c r="I495" t="str">
        <f>"Johannes Angelos"</f>
        <v>Johannes Angelos</v>
      </c>
      <c r="J495" t="str">
        <f>"Lepp, Andres"</f>
        <v>Lepp, Andres</v>
      </c>
      <c r="K495" t="str">
        <f>"Sinisukk, Tallinn"</f>
        <v>Sinisukk, Tallinn</v>
      </c>
      <c r="L495" t="str">
        <f>""</f>
        <v/>
      </c>
      <c r="M495" t="str">
        <f>"9985-812-36-0"</f>
        <v>9985-812-36-0</v>
      </c>
    </row>
    <row r="496" spans="1:13" ht="15">
      <c r="A496" t="s">
        <v>569</v>
      </c>
      <c r="B496" t="str">
        <f>"4123"</f>
        <v>4123</v>
      </c>
      <c r="C496" t="str">
        <f>"1972"</f>
        <v>1972</v>
      </c>
      <c r="D496" t="str">
        <f>"Koulutyttönä Tartossa 1901-1904"</f>
        <v>Koulutyttönä Tartossa 1901-1904</v>
      </c>
      <c r="E496" t="str">
        <f t="shared" si="48"/>
        <v>viro</v>
      </c>
      <c r="F496" t="str">
        <f>""</f>
        <v/>
      </c>
      <c r="G496" t="str">
        <f>"  täiskasvanud"</f>
        <v xml:space="preserve">  täiskasvanud</v>
      </c>
      <c r="H496" t="str">
        <f t="shared" si="47"/>
        <v>1995</v>
      </c>
      <c r="I496" t="str">
        <f>"Koolitüdrukuna Tartus 1901-1904"</f>
        <v>Koolitüdrukuna Tartus 1901-1904</v>
      </c>
      <c r="J496" t="str">
        <f>"Viiding, Linda"</f>
        <v>Viiding, Linda</v>
      </c>
      <c r="K496" t="str">
        <f>"Eesti Raamat, Tallinn"</f>
        <v>Eesti Raamat, Tallinn</v>
      </c>
      <c r="L496" t="str">
        <f>""</f>
        <v/>
      </c>
      <c r="M496" t="str">
        <f>"5-450-002393-6"</f>
        <v>5-450-002393-6</v>
      </c>
    </row>
    <row r="497" spans="1:13" ht="15">
      <c r="A497" t="s">
        <v>2</v>
      </c>
      <c r="B497" t="str">
        <f>"5916"</f>
        <v>5916</v>
      </c>
      <c r="C497" t="str">
        <f>"1980"</f>
        <v>1980</v>
      </c>
      <c r="D497" t="str">
        <f>"Anna kulkee enkelin kanssa"</f>
        <v>Anna kulkee enkelin kanssa</v>
      </c>
      <c r="E497" t="str">
        <f t="shared" si="48"/>
        <v>viro</v>
      </c>
      <c r="F497" t="str">
        <f>"proosa"</f>
        <v>proosa</v>
      </c>
      <c r="G497" t="str">
        <f>" lapsed ja noored"</f>
        <v xml:space="preserve"> lapsed ja noored</v>
      </c>
      <c r="H497" t="str">
        <f aca="true" t="shared" si="49" ref="H497:H519">"1996"</f>
        <v>1996</v>
      </c>
      <c r="I497" t="str">
        <f>"Anna ja ingel"</f>
        <v>Anna ja ingel</v>
      </c>
      <c r="J497" t="str">
        <f>"Järvoja, Eha"</f>
        <v>Järvoja, Eha</v>
      </c>
      <c r="K497" t="str">
        <f>"Logos, Tallinn"</f>
        <v>Logos, Tallinn</v>
      </c>
      <c r="L497" t="str">
        <f>""</f>
        <v/>
      </c>
      <c r="M497" t="str">
        <f>"9985-806-37-9"</f>
        <v>9985-806-37-9</v>
      </c>
    </row>
    <row r="498" spans="1:13" ht="15">
      <c r="A498" t="s">
        <v>42</v>
      </c>
      <c r="B498" t="str">
        <f>"4555"</f>
        <v>4555</v>
      </c>
      <c r="C498" t="str">
        <f>"1986"</f>
        <v>1986</v>
      </c>
      <c r="D498" t="str">
        <f>"Presidenten : roman"</f>
        <v>Presidenten : roman</v>
      </c>
      <c r="E498" t="str">
        <f t="shared" si="48"/>
        <v>viro</v>
      </c>
      <c r="F498" t="str">
        <f>"romaanid; proosa"</f>
        <v>romaanid; proosa</v>
      </c>
      <c r="G498" t="str">
        <f>"  täiskasvanud"</f>
        <v xml:space="preserve">  täiskasvanud</v>
      </c>
      <c r="H498" t="str">
        <f t="shared" si="49"/>
        <v>1996</v>
      </c>
      <c r="I498" t="str">
        <f>"President"</f>
        <v>President</v>
      </c>
      <c r="J498" t="str">
        <f>"Jesmin, Mari"</f>
        <v>Jesmin, Mari</v>
      </c>
      <c r="K498" t="str">
        <f>"Perioodika, Tallinn"</f>
        <v>Perioodika, Tallinn</v>
      </c>
      <c r="L498" t="str">
        <f>""</f>
        <v/>
      </c>
      <c r="M498" t="str">
        <f>"5-7979-0593-0"</f>
        <v>5-7979-0593-0</v>
      </c>
    </row>
    <row r="499" spans="1:13" ht="15">
      <c r="A499" t="s">
        <v>73</v>
      </c>
      <c r="B499" t="str">
        <f>"16515"</f>
        <v>16515</v>
      </c>
      <c r="C499" t="str">
        <f>"1993"</f>
        <v>1993</v>
      </c>
      <c r="D499" t="str">
        <f>"Elämän lapsi : vastuulliseen aikuisuuteen"</f>
        <v>Elämän lapsi : vastuulliseen aikuisuuteen</v>
      </c>
      <c r="E499" t="str">
        <f t="shared" si="48"/>
        <v>viro</v>
      </c>
      <c r="F499" t="str">
        <f>""</f>
        <v/>
      </c>
      <c r="G499" t="str">
        <f>"  täiskasvanud"</f>
        <v xml:space="preserve">  täiskasvanud</v>
      </c>
      <c r="H499" t="str">
        <f t="shared" si="49"/>
        <v>1996</v>
      </c>
      <c r="I499" t="str">
        <f>"Elu laps : vastutustundliku täisea poole"</f>
        <v>Elu laps : vastutustundliku täisea poole</v>
      </c>
      <c r="J499" t="str">
        <f>"Sepp, Tiit"</f>
        <v>Sepp, Tiit</v>
      </c>
      <c r="K499" t="str">
        <f>"EELK Diakooniakeskus, Tallinn"</f>
        <v>EELK Diakooniakeskus, Tallinn</v>
      </c>
      <c r="L499" t="str">
        <f>""</f>
        <v/>
      </c>
      <c r="M499" t="str">
        <f>""</f>
        <v/>
      </c>
    </row>
    <row r="500" spans="1:13" ht="15">
      <c r="A500" t="s">
        <v>76</v>
      </c>
      <c r="B500" t="str">
        <f>"4572"</f>
        <v>4572</v>
      </c>
      <c r="C500" t="str">
        <f>"1995"</f>
        <v>1995</v>
      </c>
      <c r="D500" t="str">
        <f>"Myrskypilvet"</f>
        <v>Myrskypilvet</v>
      </c>
      <c r="E500" t="str">
        <f t="shared" si="48"/>
        <v>viro</v>
      </c>
      <c r="F500" t="str">
        <f>"romaanid; proosa"</f>
        <v>romaanid; proosa</v>
      </c>
      <c r="G500" t="str">
        <f>"  täiskasvanud"</f>
        <v xml:space="preserve">  täiskasvanud</v>
      </c>
      <c r="H500" t="str">
        <f t="shared" si="49"/>
        <v>1996</v>
      </c>
      <c r="I500" t="str">
        <f>"Tormipilved"</f>
        <v>Tormipilved</v>
      </c>
      <c r="J500" t="str">
        <f>"Vaarandi, Debora"</f>
        <v>Vaarandi, Debora</v>
      </c>
      <c r="K500" t="str">
        <f>"Eesti Raamat, Tallinn"</f>
        <v>Eesti Raamat, Tallinn</v>
      </c>
      <c r="L500" t="str">
        <f>""</f>
        <v/>
      </c>
      <c r="M500" t="str">
        <f>"9985-65-078-6"</f>
        <v>9985-65-078-6</v>
      </c>
    </row>
    <row r="501" spans="1:13" ht="15">
      <c r="A501" t="s">
        <v>76</v>
      </c>
      <c r="B501" t="str">
        <f>"4517"</f>
        <v>4517</v>
      </c>
      <c r="C501" t="str">
        <f>"1994"</f>
        <v>1994</v>
      </c>
      <c r="D501" t="str">
        <f>"Valkoakaasiat"</f>
        <v>Valkoakaasiat</v>
      </c>
      <c r="E501" t="str">
        <f t="shared" si="48"/>
        <v>viro</v>
      </c>
      <c r="F501" t="str">
        <f>"romaanid; proosa"</f>
        <v>romaanid; proosa</v>
      </c>
      <c r="G501" t="str">
        <f>"  täiskasvanud"</f>
        <v xml:space="preserve">  täiskasvanud</v>
      </c>
      <c r="H501" t="str">
        <f t="shared" si="49"/>
        <v>1996</v>
      </c>
      <c r="I501" t="str">
        <f>"Valged akaatsiad"</f>
        <v>Valged akaatsiad</v>
      </c>
      <c r="J501" t="str">
        <f>"Vaarandi, Debora"</f>
        <v>Vaarandi, Debora</v>
      </c>
      <c r="K501" t="str">
        <f>"Eesti Raamat, Tallinn"</f>
        <v>Eesti Raamat, Tallinn</v>
      </c>
      <c r="L501" t="str">
        <f>""</f>
        <v/>
      </c>
      <c r="M501" t="str">
        <f>"9985-65-056-5"</f>
        <v>9985-65-056-5</v>
      </c>
    </row>
    <row r="502" spans="1:13" ht="15">
      <c r="A502" t="s">
        <v>89</v>
      </c>
      <c r="B502" t="str">
        <f>"4586"</f>
        <v>4586</v>
      </c>
      <c r="C502" t="str">
        <f>"1994"</f>
        <v>1994</v>
      </c>
      <c r="D502" t="str">
        <f>"Tuliraja"</f>
        <v>Tuliraja</v>
      </c>
      <c r="E502" t="str">
        <f t="shared" si="48"/>
        <v>viro</v>
      </c>
      <c r="F502" t="str">
        <f>"romaanid; proosa"</f>
        <v>romaanid; proosa</v>
      </c>
      <c r="G502" t="str">
        <f>" lapsed ja noored"</f>
        <v xml:space="preserve"> lapsed ja noored</v>
      </c>
      <c r="H502" t="str">
        <f t="shared" si="49"/>
        <v>1996</v>
      </c>
      <c r="I502" t="str">
        <f>"Tulepiir"</f>
        <v>Tulepiir</v>
      </c>
      <c r="J502" t="str">
        <f>"Kokla, Tiiu"</f>
        <v>Kokla, Tiiu</v>
      </c>
      <c r="K502" t="str">
        <f>"Eesti Raamat, Tallinn"</f>
        <v>Eesti Raamat, Tallinn</v>
      </c>
      <c r="L502" t="str">
        <f>""</f>
        <v/>
      </c>
      <c r="M502" t="str">
        <f>"9985-65-097-2"</f>
        <v>9985-65-097-2</v>
      </c>
    </row>
    <row r="503" spans="1:13" ht="15">
      <c r="A503" t="s">
        <v>107</v>
      </c>
      <c r="B503" t="str">
        <f>"4582"</f>
        <v>4582</v>
      </c>
      <c r="C503" t="str">
        <f>"1990"</f>
        <v>1990</v>
      </c>
      <c r="D503" t="str">
        <f>"Johdatus kirjallisuuden teoriaan"</f>
        <v>Johdatus kirjallisuuden teoriaan</v>
      </c>
      <c r="E503" t="str">
        <f t="shared" si="48"/>
        <v>viro</v>
      </c>
      <c r="F503" t="str">
        <f>""</f>
        <v/>
      </c>
      <c r="G503" t="str">
        <f>"  täiskasvanud"</f>
        <v xml:space="preserve">  täiskasvanud</v>
      </c>
      <c r="H503" t="str">
        <f t="shared" si="49"/>
        <v>1996</v>
      </c>
      <c r="I503" t="str">
        <f>"Sissejuhatus kirjandusteooriasse"</f>
        <v>Sissejuhatus kirjandusteooriasse</v>
      </c>
      <c r="J503" t="str">
        <f>"Lias, Pärt"</f>
        <v>Lias, Pärt</v>
      </c>
      <c r="K503" t="str">
        <f>"Underi ja Tuglase Kirjanduskeskus, Tallinn"</f>
        <v>Underi ja Tuglase Kirjanduskeskus, Tallinn</v>
      </c>
      <c r="L503" t="str">
        <f>""</f>
        <v/>
      </c>
      <c r="M503" t="str">
        <f>"9985-862-21-X"</f>
        <v>9985-862-21-X</v>
      </c>
    </row>
    <row r="504" spans="1:13" ht="15">
      <c r="A504" t="s">
        <v>119</v>
      </c>
      <c r="B504" t="str">
        <f>"4551"</f>
        <v>4551</v>
      </c>
      <c r="C504" t="str">
        <f>"1994"</f>
        <v>1994</v>
      </c>
      <c r="D504" t="str">
        <f>"Tuomari Müller, hieno mies"</f>
        <v>Tuomari Müller, hieno mies</v>
      </c>
      <c r="E504" t="str">
        <f t="shared" si="48"/>
        <v>viro</v>
      </c>
      <c r="F504" t="str">
        <f>"romaanid; proosa"</f>
        <v>romaanid; proosa</v>
      </c>
      <c r="G504" t="str">
        <f>"  täiskasvanud"</f>
        <v xml:space="preserve">  täiskasvanud</v>
      </c>
      <c r="H504" t="str">
        <f t="shared" si="49"/>
        <v>1996</v>
      </c>
      <c r="I504" t="str">
        <f>"Kohtunik Müller, tõeline härrasmees"</f>
        <v>Kohtunik Müller, tõeline härrasmees</v>
      </c>
      <c r="J504" t="str">
        <f>"Lehtmets, Kadi"</f>
        <v>Lehtmets, Kadi</v>
      </c>
      <c r="K504" t="str">
        <f>"Sinisukk, Tallinn"</f>
        <v>Sinisukk, Tallinn</v>
      </c>
      <c r="L504" t="str">
        <f>""</f>
        <v/>
      </c>
      <c r="M504" t="str">
        <f>"9985-812-44-1"</f>
        <v>9985-812-44-1</v>
      </c>
    </row>
    <row r="505" spans="1:13" ht="15">
      <c r="A505" t="s">
        <v>147</v>
      </c>
      <c r="B505" t="str">
        <f>"4509"</f>
        <v>4509</v>
      </c>
      <c r="C505" t="str">
        <f>"1955"</f>
        <v>1955</v>
      </c>
      <c r="D505" t="str">
        <f>"Päiväkirja vuosilta 1922-1926"</f>
        <v>Päiväkirja vuosilta 1922-1926</v>
      </c>
      <c r="E505" t="str">
        <f t="shared" si="48"/>
        <v>viro</v>
      </c>
      <c r="F505" t="str">
        <f>""</f>
        <v/>
      </c>
      <c r="G505" t="str">
        <f>"  täiskasvanud"</f>
        <v xml:space="preserve">  täiskasvanud</v>
      </c>
      <c r="H505" t="str">
        <f t="shared" si="49"/>
        <v>1996</v>
      </c>
      <c r="I505" t="str">
        <f>"Suurlinnade udus ja säras"</f>
        <v>Suurlinnade udus ja säras</v>
      </c>
      <c r="J505" t="str">
        <f>"Eller, Helmi"</f>
        <v>Eller, Helmi</v>
      </c>
      <c r="K505" t="str">
        <f>"Eesti Raamat, Tallinn"</f>
        <v>Eesti Raamat, Tallinn</v>
      </c>
      <c r="L505" t="str">
        <f>""</f>
        <v/>
      </c>
      <c r="M505" t="str">
        <f>"9985-65-020-4"</f>
        <v>9985-65-020-4</v>
      </c>
    </row>
    <row r="506" spans="1:13" ht="15">
      <c r="A506" t="s">
        <v>147</v>
      </c>
      <c r="B506" t="str">
        <f>"4510"</f>
        <v>4510</v>
      </c>
      <c r="C506" t="str">
        <f>"1956"</f>
        <v>1956</v>
      </c>
      <c r="D506" t="str">
        <f>"Päiväkirja vuosilta 1927-1931"</f>
        <v>Päiväkirja vuosilta 1927-1931</v>
      </c>
      <c r="E506" t="str">
        <f t="shared" si="48"/>
        <v>viro</v>
      </c>
      <c r="F506" t="str">
        <f>""</f>
        <v/>
      </c>
      <c r="G506" t="str">
        <f>"  täiskasvanud"</f>
        <v xml:space="preserve">  täiskasvanud</v>
      </c>
      <c r="H506" t="str">
        <f t="shared" si="49"/>
        <v>1996</v>
      </c>
      <c r="I506" t="str">
        <f>"Pööripäevad"</f>
        <v>Pööripäevad</v>
      </c>
      <c r="J506" t="str">
        <f>"Eller, Helmi"</f>
        <v>Eller, Helmi</v>
      </c>
      <c r="K506" t="str">
        <f>"Eesti Raamat, Tallinn"</f>
        <v>Eesti Raamat, Tallinn</v>
      </c>
      <c r="L506" t="str">
        <f>""</f>
        <v/>
      </c>
      <c r="M506" t="str">
        <f>"9985-65-020-4"</f>
        <v>9985-65-020-4</v>
      </c>
    </row>
    <row r="507" spans="1:13" ht="15">
      <c r="A507" t="s">
        <v>236</v>
      </c>
      <c r="B507" t="str">
        <f>"4539"</f>
        <v>4539</v>
      </c>
      <c r="C507" t="str">
        <f>"1991"</f>
        <v>1991</v>
      </c>
      <c r="D507" t="str">
        <f>"Tummien perhosten koti"</f>
        <v>Tummien perhosten koti</v>
      </c>
      <c r="E507" t="str">
        <f t="shared" si="48"/>
        <v>viro</v>
      </c>
      <c r="F507" t="str">
        <f>"romaanid; proosa"</f>
        <v>romaanid; proosa</v>
      </c>
      <c r="G507" t="str">
        <f>"  täiskasvanud"</f>
        <v xml:space="preserve">  täiskasvanud</v>
      </c>
      <c r="H507" t="str">
        <f t="shared" si="49"/>
        <v>1996</v>
      </c>
      <c r="I507" t="str">
        <f>"Tumedate liblikate kodu"</f>
        <v>Tumedate liblikate kodu</v>
      </c>
      <c r="J507" t="str">
        <f>"Lehtmets, Kadi"</f>
        <v>Lehtmets, Kadi</v>
      </c>
      <c r="K507" t="str">
        <f>"Sinisukk, Tallinn"</f>
        <v>Sinisukk, Tallinn</v>
      </c>
      <c r="L507" t="str">
        <f>""</f>
        <v/>
      </c>
      <c r="M507" t="str">
        <f>"9985-812-61-1"</f>
        <v>9985-812-61-1</v>
      </c>
    </row>
    <row r="508" spans="1:13" ht="15">
      <c r="A508" t="s">
        <v>259</v>
      </c>
      <c r="B508" t="str">
        <f>"4622"</f>
        <v>4622</v>
      </c>
      <c r="C508" t="str">
        <f>"1995"</f>
        <v>1995</v>
      </c>
      <c r="D508" t="str">
        <f>"Lukujen symboliikka nollasta miljoonaan"</f>
        <v>Lukujen symboliikka nollasta miljoonaan</v>
      </c>
      <c r="E508" t="str">
        <f t="shared" si="48"/>
        <v>viro</v>
      </c>
      <c r="F508" t="str">
        <f>""</f>
        <v/>
      </c>
      <c r="G508" t="str">
        <f>"  täiskasvanud"</f>
        <v xml:space="preserve">  täiskasvanud</v>
      </c>
      <c r="H508" t="str">
        <f t="shared" si="49"/>
        <v>1996</v>
      </c>
      <c r="I508" t="str">
        <f>"Arvude sümboolika nullist miljonini"</f>
        <v>Arvude sümboolika nullist miljonini</v>
      </c>
      <c r="J508" t="str">
        <f>"Jürima, Maire"</f>
        <v>Jürima, Maire</v>
      </c>
      <c r="K508" t="str">
        <f>"Sinisukk, Tallinn"</f>
        <v>Sinisukk, Tallinn</v>
      </c>
      <c r="L508" t="str">
        <f>""</f>
        <v/>
      </c>
      <c r="M508" t="str">
        <f>"9985-812-72-7"</f>
        <v>9985-812-72-7</v>
      </c>
    </row>
    <row r="509" spans="1:13" ht="15">
      <c r="A509" t="s">
        <v>272</v>
      </c>
      <c r="B509" t="str">
        <f>"4492"</f>
        <v>4492</v>
      </c>
      <c r="C509" t="str">
        <f>"1954"</f>
        <v>1954</v>
      </c>
      <c r="D509" t="str">
        <f>"Tuntematon sotilas"</f>
        <v>Tuntematon sotilas</v>
      </c>
      <c r="E509" t="str">
        <f t="shared" si="48"/>
        <v>viro</v>
      </c>
      <c r="F509" t="str">
        <f>"romaanid; proosa"</f>
        <v>romaanid; proosa</v>
      </c>
      <c r="G509" t="str">
        <f>"  täiskasvanud"</f>
        <v xml:space="preserve">  täiskasvanud</v>
      </c>
      <c r="H509" t="str">
        <f t="shared" si="49"/>
        <v>1996</v>
      </c>
      <c r="I509" t="str">
        <f>"Tundmatu sõdur"</f>
        <v>Tundmatu sõdur</v>
      </c>
      <c r="J509" t="str">
        <f>"Eller, Helmi, Mallene, Endel"</f>
        <v>Eller, Helmi, Mallene, Endel</v>
      </c>
      <c r="K509" t="str">
        <f>"Koge, Tallinn"</f>
        <v>Koge, Tallinn</v>
      </c>
      <c r="L509" t="str">
        <f>""</f>
        <v/>
      </c>
      <c r="M509" t="str">
        <f>"9985-849-07-8"</f>
        <v>9985-849-07-8</v>
      </c>
    </row>
    <row r="510" spans="1:13" ht="15">
      <c r="A510" t="s">
        <v>437</v>
      </c>
      <c r="B510" t="str">
        <f>"4569"</f>
        <v>4569</v>
      </c>
      <c r="C510" t="str">
        <f>"1985"</f>
        <v>1985</v>
      </c>
      <c r="D510" t="str">
        <f>"Länsimaisen filosofian historia huipulta huipulle Sokrateesta Marxiin"</f>
        <v>Länsimaisen filosofian historia huipulta huipulle Sokrateesta Marxiin</v>
      </c>
      <c r="E510" t="str">
        <f t="shared" si="48"/>
        <v>viro</v>
      </c>
      <c r="F510" t="str">
        <f>""</f>
        <v/>
      </c>
      <c r="G510" t="str">
        <f>"  täiskasvanud"</f>
        <v xml:space="preserve">  täiskasvanud</v>
      </c>
      <c r="H510" t="str">
        <f t="shared" si="49"/>
        <v>1996</v>
      </c>
      <c r="I510" t="str">
        <f>"Läänemaise filosoofia ajalugu tipult tipule Sokratesest Marxini"</f>
        <v>Läänemaise filosoofia ajalugu tipult tipule Sokratesest Marxini</v>
      </c>
      <c r="J510" t="str">
        <f>"Floren, Kaido, Idarand, Tõnis, Kahk, Juhan, Raid, Katrin"</f>
        <v>Floren, Kaido, Idarand, Tõnis, Kahk, Juhan, Raid, Katrin</v>
      </c>
      <c r="K510" t="str">
        <f>"Avita, Tallinn"</f>
        <v>Avita, Tallinn</v>
      </c>
      <c r="L510" t="str">
        <f>""</f>
        <v/>
      </c>
      <c r="M510" t="str">
        <f>"9985-825-73-X"</f>
        <v>9985-825-73-X</v>
      </c>
    </row>
    <row r="511" spans="1:13" ht="15">
      <c r="A511" t="s">
        <v>533</v>
      </c>
      <c r="B511" t="str">
        <f>"4516"</f>
        <v>4516</v>
      </c>
      <c r="C511" t="str">
        <f>"1989"</f>
        <v>1989</v>
      </c>
      <c r="D511" t="str">
        <f>"Vendela"</f>
        <v>Vendela</v>
      </c>
      <c r="E511" t="str">
        <f t="shared" si="48"/>
        <v>viro</v>
      </c>
      <c r="F511" t="str">
        <f>"romaanid; proosa"</f>
        <v>romaanid; proosa</v>
      </c>
      <c r="G511" t="str">
        <f>"  täiskasvanud"</f>
        <v xml:space="preserve">  täiskasvanud</v>
      </c>
      <c r="H511" t="str">
        <f t="shared" si="49"/>
        <v>1996</v>
      </c>
      <c r="I511" t="str">
        <f>"Vendela"</f>
        <v>Vendela</v>
      </c>
      <c r="J511" t="str">
        <f>"Jürima, Maire"</f>
        <v>Jürima, Maire</v>
      </c>
      <c r="K511" t="str">
        <f>"Sinisukk, Tallinn"</f>
        <v>Sinisukk, Tallinn</v>
      </c>
      <c r="L511" t="str">
        <f>""</f>
        <v/>
      </c>
      <c r="M511" t="str">
        <f>"9985-812-53-0"</f>
        <v>9985-812-53-0</v>
      </c>
    </row>
    <row r="512" spans="1:13" ht="15">
      <c r="A512" t="s">
        <v>542</v>
      </c>
      <c r="B512" t="str">
        <f>"15480"</f>
        <v>15480</v>
      </c>
      <c r="C512" t="str">
        <f>"1994"</f>
        <v>1994</v>
      </c>
      <c r="D512" t="str">
        <f>"Kilpikonna ja olkimarsalkka"</f>
        <v>Kilpikonna ja olkimarsalkka</v>
      </c>
      <c r="E512" t="str">
        <f t="shared" si="48"/>
        <v>viro</v>
      </c>
      <c r="F512" t="str">
        <f>""</f>
        <v/>
      </c>
      <c r="G512" t="str">
        <f>"  täiskasvanud"</f>
        <v xml:space="preserve">  täiskasvanud</v>
      </c>
      <c r="H512" t="str">
        <f t="shared" si="49"/>
        <v>1996</v>
      </c>
      <c r="I512" t="str">
        <f>"Kilpkonn ja õlgmarssal"</f>
        <v>Kilpkonn ja õlgmarssal</v>
      </c>
      <c r="J512" t="str">
        <f>"Saluri, Piret, Sang, Joel"</f>
        <v>Saluri, Piret, Sang, Joel</v>
      </c>
      <c r="K512" t="str">
        <f>"Perioodika, Tallinn"</f>
        <v>Perioodika, Tallinn</v>
      </c>
      <c r="L512" t="str">
        <f>""</f>
        <v/>
      </c>
      <c r="M512" t="str">
        <f>"579790604X"</f>
        <v>579790604X</v>
      </c>
    </row>
    <row r="513" spans="1:13" ht="15">
      <c r="A513" t="s">
        <v>563</v>
      </c>
      <c r="B513" t="str">
        <f>"4581"</f>
        <v>4581</v>
      </c>
      <c r="C513" t="str">
        <f>"1940"</f>
        <v>1940</v>
      </c>
      <c r="D513" t="str">
        <f>"Komisario Palmun erehdys"</f>
        <v>Komisario Palmun erehdys</v>
      </c>
      <c r="E513" t="str">
        <f t="shared" si="48"/>
        <v>viro</v>
      </c>
      <c r="F513" t="str">
        <f>"romaanid; põnevus- ja krimikirjandus; proosa"</f>
        <v>romaanid; põnevus- ja krimikirjandus; proosa</v>
      </c>
      <c r="G513" t="str">
        <f>"  täiskasvanud"</f>
        <v xml:space="preserve">  täiskasvanud</v>
      </c>
      <c r="H513" t="str">
        <f t="shared" si="49"/>
        <v>1996</v>
      </c>
      <c r="I513" t="str">
        <f>"Komissar Palmu eksitus"</f>
        <v>Komissar Palmu eksitus</v>
      </c>
      <c r="J513" t="str">
        <f>"Vaba, Mari"</f>
        <v>Vaba, Mari</v>
      </c>
      <c r="K513" t="str">
        <f>"Eesti Raamat, Tallinn"</f>
        <v>Eesti Raamat, Tallinn</v>
      </c>
      <c r="L513" t="str">
        <f>""</f>
        <v/>
      </c>
      <c r="M513" t="str">
        <f>"9985-65-080-8"</f>
        <v>9985-65-080-8</v>
      </c>
    </row>
    <row r="514" spans="1:13" ht="15">
      <c r="A514" t="s">
        <v>563</v>
      </c>
      <c r="B514" t="str">
        <f>"4588"</f>
        <v>4588</v>
      </c>
      <c r="C514" t="str">
        <f>"1949"</f>
        <v>1949</v>
      </c>
      <c r="D514" t="str">
        <f>"Neljä päivänlaskua"</f>
        <v>Neljä päivänlaskua</v>
      </c>
      <c r="E514" t="str">
        <f t="shared" si="48"/>
        <v>viro</v>
      </c>
      <c r="F514" t="str">
        <f>"romaanid; proosa"</f>
        <v>romaanid; proosa</v>
      </c>
      <c r="G514" t="str">
        <f>"  täiskasvanud"</f>
        <v xml:space="preserve">  täiskasvanud</v>
      </c>
      <c r="H514" t="str">
        <f t="shared" si="49"/>
        <v>1996</v>
      </c>
      <c r="I514" t="str">
        <f>"Neli päevaloojakut"</f>
        <v>Neli päevaloojakut</v>
      </c>
      <c r="J514" t="str">
        <f>"Kokla, Tiiu"</f>
        <v>Kokla, Tiiu</v>
      </c>
      <c r="K514" t="str">
        <f>"Perioodika, Tallinn"</f>
        <v>Perioodika, Tallinn</v>
      </c>
      <c r="L514" t="str">
        <f>""</f>
        <v/>
      </c>
      <c r="M514" t="str">
        <f>"5-7979-0603-1"</f>
        <v>5-7979-0603-1</v>
      </c>
    </row>
    <row r="515" spans="1:13" ht="15">
      <c r="A515" t="s">
        <v>563</v>
      </c>
      <c r="B515" t="str">
        <f>"4552"</f>
        <v>4552</v>
      </c>
      <c r="C515" t="str">
        <f>"1955"</f>
        <v>1955</v>
      </c>
      <c r="D515" t="str">
        <f>"Turms, kuolematon"</f>
        <v>Turms, kuolematon</v>
      </c>
      <c r="E515" t="str">
        <f t="shared" si="48"/>
        <v>viro</v>
      </c>
      <c r="F515" t="str">
        <f>"romaanid; proosa"</f>
        <v>romaanid; proosa</v>
      </c>
      <c r="G515" t="str">
        <f>"  täiskasvanud"</f>
        <v xml:space="preserve">  täiskasvanud</v>
      </c>
      <c r="H515" t="str">
        <f t="shared" si="49"/>
        <v>1996</v>
      </c>
      <c r="I515" t="str">
        <f>"Turms, surematu"</f>
        <v>Turms, surematu</v>
      </c>
      <c r="J515" t="str">
        <f>"Liivaku, Uno"</f>
        <v>Liivaku, Uno</v>
      </c>
      <c r="K515" t="str">
        <f>"Monokkel, Tallinn"</f>
        <v>Monokkel, Tallinn</v>
      </c>
      <c r="L515" t="str">
        <f>""</f>
        <v/>
      </c>
      <c r="M515" t="str">
        <f>"9985-54-021-2"</f>
        <v>9985-54-021-2</v>
      </c>
    </row>
    <row r="516" spans="1:13" ht="15">
      <c r="A516" t="s">
        <v>563</v>
      </c>
      <c r="B516" t="str">
        <f>"4577"</f>
        <v>4577</v>
      </c>
      <c r="C516" t="str">
        <f>"1962"</f>
        <v>1962</v>
      </c>
      <c r="D516" t="str">
        <f>"Tähdet kertovat, komisario Palmu"</f>
        <v>Tähdet kertovat, komisario Palmu</v>
      </c>
      <c r="E516" t="str">
        <f t="shared" si="48"/>
        <v>viro</v>
      </c>
      <c r="F516" t="str">
        <f>"romaanid; põnevus- ja krimikirjandus; proosa"</f>
        <v>romaanid; põnevus- ja krimikirjandus; proosa</v>
      </c>
      <c r="G516" t="str">
        <f>"  täiskasvanud"</f>
        <v xml:space="preserve">  täiskasvanud</v>
      </c>
      <c r="H516" t="str">
        <f t="shared" si="49"/>
        <v>1996</v>
      </c>
      <c r="I516" t="str">
        <f>"Tähtede seis on selline, komissar Palmu"</f>
        <v>Tähtede seis on selline, komissar Palmu</v>
      </c>
      <c r="J516" t="str">
        <f>"Vaba, Mari"</f>
        <v>Vaba, Mari</v>
      </c>
      <c r="K516" t="str">
        <f>"Eesti Raamat, Tallinn"</f>
        <v>Eesti Raamat, Tallinn</v>
      </c>
      <c r="L516" t="str">
        <f>""</f>
        <v/>
      </c>
      <c r="M516" t="str">
        <f>"9985-65-091-3"</f>
        <v>9985-65-091-3</v>
      </c>
    </row>
    <row r="517" spans="1:13" ht="15">
      <c r="A517" t="s">
        <v>564</v>
      </c>
      <c r="B517" t="str">
        <f>"5925"</f>
        <v>5925</v>
      </c>
      <c r="C517" t="str">
        <f>"1992"</f>
        <v>1992</v>
      </c>
      <c r="D517" t="str">
        <f>"Fallet Bruus"</f>
        <v>Fallet Bruus</v>
      </c>
      <c r="E517" t="str">
        <f t="shared" si="48"/>
        <v>viro</v>
      </c>
      <c r="F517" t="str">
        <f>"lühiproosa, proosa"</f>
        <v>lühiproosa, proosa</v>
      </c>
      <c r="G517" t="str">
        <f>"  täiskasvanud"</f>
        <v xml:space="preserve">  täiskasvanud</v>
      </c>
      <c r="H517" t="str">
        <f t="shared" si="49"/>
        <v>1996</v>
      </c>
      <c r="I517" t="str">
        <f>"Bruusi juhtum"</f>
        <v>Bruusi juhtum</v>
      </c>
      <c r="J517" t="str">
        <f>"Allik, Mari"</f>
        <v>Allik, Mari</v>
      </c>
      <c r="K517" t="str">
        <f>"Perioodika, Tallinn"</f>
        <v>Perioodika, Tallinn</v>
      </c>
      <c r="L517" t="str">
        <f>""</f>
        <v/>
      </c>
      <c r="M517" t="str">
        <f>"5-7979-0596-5"</f>
        <v>5-7979-0596-5</v>
      </c>
    </row>
    <row r="518" spans="1:13" ht="15">
      <c r="A518" t="s">
        <v>568</v>
      </c>
      <c r="B518" t="str">
        <f>"5956"</f>
        <v>5956</v>
      </c>
      <c r="C518" t="str">
        <f>""</f>
        <v/>
      </c>
      <c r="D518" t="str">
        <f>""</f>
        <v/>
      </c>
      <c r="E518" t="str">
        <f t="shared" si="48"/>
        <v>viro</v>
      </c>
      <c r="F518" t="str">
        <f>""</f>
        <v/>
      </c>
      <c r="G518" t="str">
        <f>"  täiskasvanud"</f>
        <v xml:space="preserve">  täiskasvanud</v>
      </c>
      <c r="H518" t="str">
        <f t="shared" si="49"/>
        <v>1996</v>
      </c>
      <c r="I518" t="str">
        <f>"Minerva öökull"</f>
        <v>Minerva öökull</v>
      </c>
      <c r="J518" t="str">
        <f>"Aaloe, Ülev, Kangilaski, Jaan, Kaplinski, Jaan, Sang, Joel"</f>
        <v>Aaloe, Ülev, Kangilaski, Jaan, Kaplinski, Jaan, Sang, Joel</v>
      </c>
      <c r="K518" t="str">
        <f>"Vagabund, Tallinn"</f>
        <v>Vagabund, Tallinn</v>
      </c>
      <c r="L518" t="str">
        <f>""</f>
        <v/>
      </c>
      <c r="M518" t="str">
        <f>"9985-83-512-3"</f>
        <v>9985-83-512-3</v>
      </c>
    </row>
    <row r="519" spans="1:13" ht="15">
      <c r="A519" t="s">
        <v>569</v>
      </c>
      <c r="B519" t="str">
        <f>"4508"</f>
        <v>4508</v>
      </c>
      <c r="C519" t="str">
        <f>"1986"</f>
        <v>1986</v>
      </c>
      <c r="D519" t="str">
        <f>"Yliopistovuodet Helsingissä 1904-1908"</f>
        <v>Yliopistovuodet Helsingissä 1904-1908</v>
      </c>
      <c r="E519" t="str">
        <f t="shared" si="48"/>
        <v>viro</v>
      </c>
      <c r="F519" t="str">
        <f>""</f>
        <v/>
      </c>
      <c r="G519" t="str">
        <f>"  täiskasvanud"</f>
        <v xml:space="preserve">  täiskasvanud</v>
      </c>
      <c r="H519" t="str">
        <f t="shared" si="49"/>
        <v>1996</v>
      </c>
      <c r="I519" t="str">
        <f>"Ülikooliaastad Helsingis 1904-1908"</f>
        <v>Ülikooliaastad Helsingis 1904-1908</v>
      </c>
      <c r="J519" t="str">
        <f>"Viiding, Linda"</f>
        <v>Viiding, Linda</v>
      </c>
      <c r="K519" t="str">
        <f>"Eesti Raamat, Tallinn"</f>
        <v>Eesti Raamat, Tallinn</v>
      </c>
      <c r="L519" t="str">
        <f>""</f>
        <v/>
      </c>
      <c r="M519" t="str">
        <f>"5-450-02424-X"</f>
        <v>5-450-02424-X</v>
      </c>
    </row>
    <row r="520" spans="2:13" ht="15">
      <c r="B520" t="str">
        <f>"4580"</f>
        <v>4580</v>
      </c>
      <c r="C520" t="str">
        <f>""</f>
        <v/>
      </c>
      <c r="D520" t="str">
        <f>""</f>
        <v/>
      </c>
      <c r="E520" t="str">
        <f t="shared" si="48"/>
        <v>viro</v>
      </c>
      <c r="F520" t="str">
        <f>"luule, lüürika"</f>
        <v>luule, lüürika</v>
      </c>
      <c r="G520" t="str">
        <f>"  täiskasvanud"</f>
        <v xml:space="preserve">  täiskasvanud</v>
      </c>
      <c r="H520" t="str">
        <f aca="true" t="shared" si="50" ref="H520:H536">"1997"</f>
        <v>1997</v>
      </c>
      <c r="I520" t="str">
        <f>"Kaarsild"</f>
        <v>Kaarsild</v>
      </c>
      <c r="J520" t="str">
        <f>"Ehin, Andres, Paikre, Ants, Seppel, Ly"</f>
        <v>Ehin, Andres, Paikre, Ants, Seppel, Ly</v>
      </c>
      <c r="K520" t="str">
        <f>"Vagabund, Tallinn"</f>
        <v>Vagabund, Tallinn</v>
      </c>
      <c r="L520" t="str">
        <f>""</f>
        <v/>
      </c>
      <c r="M520" t="str">
        <f>"9985-835-16-6"</f>
        <v>9985-835-16-6</v>
      </c>
    </row>
    <row r="521" spans="2:13" ht="15">
      <c r="B521" t="str">
        <f>"15148"</f>
        <v>15148</v>
      </c>
      <c r="C521" t="str">
        <f>"1997"</f>
        <v>1997</v>
      </c>
      <c r="D521" t="str">
        <f>"Paholaisen asianajajan paluu : opaskirja skeptikolle"</f>
        <v>Paholaisen asianajajan paluu : opaskirja skeptikolle</v>
      </c>
      <c r="E521" t="str">
        <f t="shared" si="48"/>
        <v>viro</v>
      </c>
      <c r="F521" t="str">
        <f>""</f>
        <v/>
      </c>
      <c r="G521" t="str">
        <f>"  täiskasvanud"</f>
        <v xml:space="preserve">  täiskasvanud</v>
      </c>
      <c r="H521" t="str">
        <f t="shared" si="50"/>
        <v>1997</v>
      </c>
      <c r="I521" t="str">
        <f>"Teine maailm"</f>
        <v>Teine maailm</v>
      </c>
      <c r="J521" t="str">
        <f>"Kaaber, Ene"</f>
        <v>Kaaber, Ene</v>
      </c>
      <c r="K521" t="str">
        <f>"K &amp; K, Tallinn"</f>
        <v>K &amp; K, Tallinn</v>
      </c>
      <c r="L521" t="str">
        <f>""</f>
        <v/>
      </c>
      <c r="M521" t="str">
        <f>"9985915208"</f>
        <v>9985915208</v>
      </c>
    </row>
    <row r="522" spans="1:13" ht="15">
      <c r="A522" t="s">
        <v>25</v>
      </c>
      <c r="B522" t="str">
        <f>"6085"</f>
        <v>6085</v>
      </c>
      <c r="C522" t="str">
        <f>"1994"</f>
        <v>1994</v>
      </c>
      <c r="D522" t="str">
        <f>"Kohti tasapainoa : ideoita vapaaehtoisten koulutukseen"</f>
        <v>Kohti tasapainoa : ideoita vapaaehtoisten koulutukseen</v>
      </c>
      <c r="E522" t="str">
        <f t="shared" si="48"/>
        <v>viro</v>
      </c>
      <c r="F522" t="str">
        <f>""</f>
        <v/>
      </c>
      <c r="G522" t="str">
        <f>"  täiskasvanud"</f>
        <v xml:space="preserve">  täiskasvanud</v>
      </c>
      <c r="H522" t="str">
        <f t="shared" si="50"/>
        <v>1997</v>
      </c>
      <c r="I522" t="str">
        <f>"Tasakaalu nimel"</f>
        <v>Tasakaalu nimel</v>
      </c>
      <c r="J522" t="str">
        <f>"Ootsing, Sirje"</f>
        <v>Ootsing, Sirje</v>
      </c>
      <c r="K522" t="str">
        <f>"Eesti Punane Rist, Tallinn"</f>
        <v>Eesti Punane Rist, Tallinn</v>
      </c>
      <c r="L522" t="str">
        <f>""</f>
        <v/>
      </c>
      <c r="M522" t="str">
        <f>""</f>
        <v/>
      </c>
    </row>
    <row r="523" spans="1:13" ht="15">
      <c r="A523" t="s">
        <v>42</v>
      </c>
      <c r="B523" t="str">
        <f>"4939"</f>
        <v>4939</v>
      </c>
      <c r="C523" t="str">
        <f>"1984"</f>
        <v>1984</v>
      </c>
      <c r="D523" t="str">
        <f>"Far och son : en komedi"</f>
        <v>Far och son : en komedi</v>
      </c>
      <c r="E523" t="str">
        <f t="shared" si="48"/>
        <v>viro</v>
      </c>
      <c r="F523" t="str">
        <f>"romaanid; proosa"</f>
        <v>romaanid; proosa</v>
      </c>
      <c r="G523" t="str">
        <f>"  täiskasvanud"</f>
        <v xml:space="preserve">  täiskasvanud</v>
      </c>
      <c r="H523" t="str">
        <f t="shared" si="50"/>
        <v>1997</v>
      </c>
      <c r="I523" t="str">
        <f>"Isa ja poeg"</f>
        <v>Isa ja poeg</v>
      </c>
      <c r="J523" t="str">
        <f>"Jesmin, Mari"</f>
        <v>Jesmin, Mari</v>
      </c>
      <c r="K523" t="str">
        <f>"Loomingu raamatukogu, Tallinn"</f>
        <v>Loomingu raamatukogu, Tallinn</v>
      </c>
      <c r="L523" t="str">
        <f>""</f>
        <v/>
      </c>
      <c r="M523" t="str">
        <f>"9985-868-19-6"</f>
        <v>9985-868-19-6</v>
      </c>
    </row>
    <row r="524" spans="1:13" ht="15">
      <c r="A524" t="s">
        <v>84</v>
      </c>
      <c r="B524" t="str">
        <f>"6055"</f>
        <v>6055</v>
      </c>
      <c r="C524" t="str">
        <f>"1970"</f>
        <v>1970</v>
      </c>
      <c r="D524" t="str">
        <f>"Kulttuuriantropologia"</f>
        <v>Kulttuuriantropologia</v>
      </c>
      <c r="E524" t="str">
        <f t="shared" si="48"/>
        <v>viro</v>
      </c>
      <c r="F524" t="str">
        <f>""</f>
        <v/>
      </c>
      <c r="G524" t="str">
        <f>"  täiskasvanud"</f>
        <v xml:space="preserve">  täiskasvanud</v>
      </c>
      <c r="H524" t="str">
        <f t="shared" si="50"/>
        <v>1997</v>
      </c>
      <c r="I524" t="str">
        <f>"Kultuuriantropoloogia"</f>
        <v>Kultuuriantropoloogia</v>
      </c>
      <c r="J524" t="str">
        <f>"Vähi, Tiina"</f>
        <v>Vähi, Tiina</v>
      </c>
      <c r="K524" t="str">
        <f>"Tuum, Tallinn"</f>
        <v>Tuum, Tallinn</v>
      </c>
      <c r="L524" t="str">
        <f>""</f>
        <v/>
      </c>
      <c r="M524" t="str">
        <f>"9985-802-18-7"</f>
        <v>9985-802-18-7</v>
      </c>
    </row>
    <row r="525" spans="1:13" ht="15">
      <c r="A525" t="s">
        <v>128</v>
      </c>
      <c r="B525" t="str">
        <f>"6059"</f>
        <v>6059</v>
      </c>
      <c r="C525" t="str">
        <f>"1992"</f>
        <v>1992</v>
      </c>
      <c r="D525" t="str">
        <f>"Naiseksi joka olet"</f>
        <v>Naiseksi joka olet</v>
      </c>
      <c r="E525" t="str">
        <f t="shared" si="48"/>
        <v>viro</v>
      </c>
      <c r="F525" t="str">
        <f>""</f>
        <v/>
      </c>
      <c r="G525" t="str">
        <f>"  täiskasvanud"</f>
        <v xml:space="preserve">  täiskasvanud</v>
      </c>
      <c r="H525" t="str">
        <f t="shared" si="50"/>
        <v>1997</v>
      </c>
      <c r="I525" t="str">
        <f>"Naine, nagu sa oled"</f>
        <v>Naine, nagu sa oled</v>
      </c>
      <c r="J525" t="str">
        <f>"Parbo, Vilma"</f>
        <v>Parbo, Vilma</v>
      </c>
      <c r="K525" t="str">
        <f>"Valgus, Tallinn"</f>
        <v>Valgus, Tallinn</v>
      </c>
      <c r="L525" t="str">
        <f>""</f>
        <v/>
      </c>
      <c r="M525" t="str">
        <f>"9985-68-028-6"</f>
        <v>9985-68-028-6</v>
      </c>
    </row>
    <row r="526" spans="1:13" ht="15">
      <c r="A526" t="s">
        <v>233</v>
      </c>
      <c r="B526" t="str">
        <f>"4621"</f>
        <v>4621</v>
      </c>
      <c r="C526" t="str">
        <f>""</f>
        <v/>
      </c>
      <c r="D526" t="str">
        <f>"Aino Kallas 1897-1921 ; Aino Kallaksen mestarivuodet"</f>
        <v>Aino Kallas 1897-1921 ; Aino Kallaksen mestarivuodet</v>
      </c>
      <c r="E526" t="str">
        <f t="shared" si="48"/>
        <v>viro</v>
      </c>
      <c r="F526" t="str">
        <f>""</f>
        <v/>
      </c>
      <c r="G526" t="str">
        <f>"  täiskasvanud"</f>
        <v xml:space="preserve">  täiskasvanud</v>
      </c>
      <c r="H526" t="str">
        <f t="shared" si="50"/>
        <v>1997</v>
      </c>
      <c r="I526" t="str">
        <f>"Aino Kallas"</f>
        <v>Aino Kallas</v>
      </c>
      <c r="J526" t="str">
        <f>"Kiin, Sirje"</f>
        <v>Kiin, Sirje</v>
      </c>
      <c r="K526" t="str">
        <f>"Sinisukk, Tallinn"</f>
        <v>Sinisukk, Tallinn</v>
      </c>
      <c r="L526" t="str">
        <f>""</f>
        <v/>
      </c>
      <c r="M526" t="str">
        <f>"9985-73-019-4"</f>
        <v>9985-73-019-4</v>
      </c>
    </row>
    <row r="527" spans="1:13" ht="15">
      <c r="A527" t="s">
        <v>266</v>
      </c>
      <c r="B527" t="str">
        <f>"4589"</f>
        <v>4589</v>
      </c>
      <c r="C527" t="str">
        <f>"1985"</f>
        <v>1985</v>
      </c>
      <c r="D527" t="str">
        <f>"Yhden yön pysäkki"</f>
        <v>Yhden yön pysäkki</v>
      </c>
      <c r="E527" t="str">
        <f t="shared" si="48"/>
        <v>viro</v>
      </c>
      <c r="F527" t="str">
        <f>"lühiproosa, proosa"</f>
        <v>lühiproosa, proosa</v>
      </c>
      <c r="G527" t="str">
        <f>"  täiskasvanud"</f>
        <v xml:space="preserve">  täiskasvanud</v>
      </c>
      <c r="H527" t="str">
        <f t="shared" si="50"/>
        <v>1997</v>
      </c>
      <c r="I527" t="str">
        <f>"Ühe öö ekstaas"</f>
        <v>Ühe öö ekstaas</v>
      </c>
      <c r="J527" t="str">
        <f>"Merila, Anu"</f>
        <v>Merila, Anu</v>
      </c>
      <c r="K527" t="str">
        <f>"Huma, [Tallinn]"</f>
        <v>Huma, [Tallinn]</v>
      </c>
      <c r="L527" t="str">
        <f>""</f>
        <v/>
      </c>
      <c r="M527" t="str">
        <f>"9985-801-68-7"</f>
        <v>9985-801-68-7</v>
      </c>
    </row>
    <row r="528" spans="1:13" ht="15">
      <c r="A528" t="s">
        <v>271</v>
      </c>
      <c r="B528" t="str">
        <f>"4695"</f>
        <v>4695</v>
      </c>
      <c r="C528" t="str">
        <f>""</f>
        <v/>
      </c>
      <c r="D528" t="str">
        <f>""</f>
        <v/>
      </c>
      <c r="E528" t="str">
        <f t="shared" si="48"/>
        <v>viro</v>
      </c>
      <c r="F528" t="str">
        <f>""</f>
        <v/>
      </c>
      <c r="G528" t="str">
        <f>"  täiskasvanud"</f>
        <v xml:space="preserve">  täiskasvanud</v>
      </c>
      <c r="H528" t="str">
        <f t="shared" si="50"/>
        <v>1997</v>
      </c>
      <c r="I528" t="str">
        <f>"Juhatus 1990-ndate mõtlemisse"</f>
        <v>Juhatus 1990-ndate mõtlemisse</v>
      </c>
      <c r="J528" t="str">
        <f>"Parts, Priit-Kalev"</f>
        <v>Parts, Priit-Kalev</v>
      </c>
      <c r="K528" t="str">
        <f>"Vaialiit, Haapsalu"</f>
        <v>Vaialiit, Haapsalu</v>
      </c>
      <c r="L528" t="str">
        <f>""</f>
        <v/>
      </c>
      <c r="M528" t="str">
        <f>""</f>
        <v/>
      </c>
    </row>
    <row r="529" spans="1:13" ht="15">
      <c r="A529" t="s">
        <v>308</v>
      </c>
      <c r="B529" t="str">
        <f>"4639"</f>
        <v>4639</v>
      </c>
      <c r="C529" t="str">
        <f>"1988"</f>
        <v>1988</v>
      </c>
      <c r="D529" t="str">
        <f>"C. G. Mannerheim, Suomen marsalkka"</f>
        <v>C. G. Mannerheim, Suomen marsalkka</v>
      </c>
      <c r="E529" t="str">
        <f t="shared" si="48"/>
        <v>viro</v>
      </c>
      <c r="F529" t="str">
        <f>""</f>
        <v/>
      </c>
      <c r="G529" t="str">
        <f>"  täiskasvanud"</f>
        <v xml:space="preserve">  täiskasvanud</v>
      </c>
      <c r="H529" t="str">
        <f t="shared" si="50"/>
        <v>1997</v>
      </c>
      <c r="I529" t="str">
        <f>"Soome marssal C. G. Mannerheim"</f>
        <v>Soome marssal C. G. Mannerheim</v>
      </c>
      <c r="J529" t="str">
        <f>"Mallene, Endel"</f>
        <v>Mallene, Endel</v>
      </c>
      <c r="K529" t="str">
        <f>"Eesti Entsüklopeediakirjastus, Tallinn"</f>
        <v>Eesti Entsüklopeediakirjastus, Tallinn</v>
      </c>
      <c r="L529" t="str">
        <f>""</f>
        <v/>
      </c>
      <c r="M529" t="str">
        <f>"9985-70-004-X"</f>
        <v>9985-70-004-X</v>
      </c>
    </row>
    <row r="530" spans="1:13" ht="15">
      <c r="A530" t="s">
        <v>318</v>
      </c>
      <c r="B530" t="str">
        <f>"288"</f>
        <v>288</v>
      </c>
      <c r="C530" t="str">
        <f>"1965"</f>
        <v>1965</v>
      </c>
      <c r="D530" t="str">
        <f>"Tabu"</f>
        <v>Tabu</v>
      </c>
      <c r="E530" t="str">
        <f t="shared" si="48"/>
        <v>viro</v>
      </c>
      <c r="F530" t="str">
        <f>"romaanid; proosa"</f>
        <v>romaanid; proosa</v>
      </c>
      <c r="G530" t="str">
        <f>"  täiskasvanud"</f>
        <v xml:space="preserve">  täiskasvanud</v>
      </c>
      <c r="H530" t="str">
        <f t="shared" si="50"/>
        <v>1997</v>
      </c>
      <c r="I530" t="str">
        <f>"Tabu"</f>
        <v>Tabu</v>
      </c>
      <c r="J530" t="str">
        <f>"Paikre, Ants"</f>
        <v>Paikre, Ants</v>
      </c>
      <c r="K530" t="str">
        <f>"Perioodika, Tallinn"</f>
        <v>Perioodika, Tallinn</v>
      </c>
      <c r="L530" t="str">
        <f>""</f>
        <v/>
      </c>
      <c r="M530" t="str">
        <f>"9985-868-16-1"</f>
        <v>9985-868-16-1</v>
      </c>
    </row>
    <row r="531" spans="1:13" ht="15">
      <c r="A531" t="s">
        <v>356</v>
      </c>
      <c r="B531" t="str">
        <f>"4641"</f>
        <v>4641</v>
      </c>
      <c r="C531" t="str">
        <f>"1983"</f>
        <v>1983</v>
      </c>
      <c r="D531" t="str">
        <f>"Hirtettyjen kettujen metsä"</f>
        <v>Hirtettyjen kettujen metsä</v>
      </c>
      <c r="E531" t="str">
        <f t="shared" si="48"/>
        <v>viro</v>
      </c>
      <c r="F531" t="str">
        <f>"romaanid; proosa"</f>
        <v>romaanid; proosa</v>
      </c>
      <c r="G531" t="str">
        <f>"  täiskasvanud"</f>
        <v xml:space="preserve">  täiskasvanud</v>
      </c>
      <c r="H531" t="str">
        <f t="shared" si="50"/>
        <v>1997</v>
      </c>
      <c r="I531" t="str">
        <f>"Poodud rebaste mets"</f>
        <v>Poodud rebaste mets</v>
      </c>
      <c r="J531" t="str">
        <f>"Kokk, Kädi"</f>
        <v>Kokk, Kädi</v>
      </c>
      <c r="K531" t="str">
        <f>"Monokkel, Tallinn"</f>
        <v>Monokkel, Tallinn</v>
      </c>
      <c r="L531" t="str">
        <f>""</f>
        <v/>
      </c>
      <c r="M531" t="str">
        <f>"9985-54-025-5"</f>
        <v>9985-54-025-5</v>
      </c>
    </row>
    <row r="532" spans="1:13" ht="15">
      <c r="A532" t="s">
        <v>356</v>
      </c>
      <c r="B532" t="str">
        <f>"4640"</f>
        <v>4640</v>
      </c>
      <c r="C532" t="str">
        <f>"1990"</f>
        <v>1990</v>
      </c>
      <c r="D532" t="str">
        <f>"Hurmaava joukkoitsemurha"</f>
        <v>Hurmaava joukkoitsemurha</v>
      </c>
      <c r="E532" t="str">
        <f t="shared" si="48"/>
        <v>viro</v>
      </c>
      <c r="F532" t="str">
        <f>"romaanid; proosa"</f>
        <v>romaanid; proosa</v>
      </c>
      <c r="G532" t="str">
        <f>"  täiskasvanud"</f>
        <v xml:space="preserve">  täiskasvanud</v>
      </c>
      <c r="H532" t="str">
        <f t="shared" si="50"/>
        <v>1997</v>
      </c>
      <c r="I532" t="str">
        <f>"Lummav vabasurmasõit"</f>
        <v>Lummav vabasurmasõit</v>
      </c>
      <c r="J532" t="str">
        <f>"Männamaa, Hella-Mare"</f>
        <v>Männamaa, Hella-Mare</v>
      </c>
      <c r="K532" t="str">
        <f>"Umara, Tallinn"</f>
        <v>Umara, Tallinn</v>
      </c>
      <c r="L532" t="str">
        <f>""</f>
        <v/>
      </c>
      <c r="M532" t="str">
        <f>"9985-9103-3-8"</f>
        <v>9985-9103-3-8</v>
      </c>
    </row>
    <row r="533" spans="1:13" ht="15">
      <c r="A533" t="s">
        <v>377</v>
      </c>
      <c r="B533" t="str">
        <f>"6055"</f>
        <v>6055</v>
      </c>
      <c r="C533" t="str">
        <f>"1970"</f>
        <v>1970</v>
      </c>
      <c r="D533" t="str">
        <f>"Kulttuuriantropologia"</f>
        <v>Kulttuuriantropologia</v>
      </c>
      <c r="E533" t="str">
        <f t="shared" si="48"/>
        <v>viro</v>
      </c>
      <c r="F533" t="str">
        <f>""</f>
        <v/>
      </c>
      <c r="G533" t="str">
        <f>"  täiskasvanud"</f>
        <v xml:space="preserve">  täiskasvanud</v>
      </c>
      <c r="H533" t="str">
        <f t="shared" si="50"/>
        <v>1997</v>
      </c>
      <c r="I533" t="str">
        <f>"Kultuuriantropoloogia"</f>
        <v>Kultuuriantropoloogia</v>
      </c>
      <c r="J533" t="str">
        <f>"Vähi, Tiina"</f>
        <v>Vähi, Tiina</v>
      </c>
      <c r="K533" t="str">
        <f>"Tuum, Tallinn"</f>
        <v>Tuum, Tallinn</v>
      </c>
      <c r="L533" t="str">
        <f>""</f>
        <v/>
      </c>
      <c r="M533" t="str">
        <f>"9985-802-18-7"</f>
        <v>9985-802-18-7</v>
      </c>
    </row>
    <row r="534" spans="1:13" ht="15">
      <c r="A534" t="s">
        <v>442</v>
      </c>
      <c r="B534" t="str">
        <f>"4591"</f>
        <v>4591</v>
      </c>
      <c r="C534" t="str">
        <f>"1936"</f>
        <v>1936</v>
      </c>
      <c r="D534" t="str">
        <f>"Katrina"</f>
        <v>Katrina</v>
      </c>
      <c r="E534" t="str">
        <f t="shared" si="48"/>
        <v>viro</v>
      </c>
      <c r="F534" t="str">
        <f>"romaanid; proosa"</f>
        <v>romaanid; proosa</v>
      </c>
      <c r="G534" t="str">
        <f>"  täiskasvanud"</f>
        <v xml:space="preserve">  täiskasvanud</v>
      </c>
      <c r="H534" t="str">
        <f t="shared" si="50"/>
        <v>1997</v>
      </c>
      <c r="I534" t="str">
        <f>"Katriina"</f>
        <v>Katriina</v>
      </c>
      <c r="J534" t="str">
        <f>"Haliste, E."</f>
        <v>Haliste, E.</v>
      </c>
      <c r="K534" t="str">
        <f>"Eesti Raamat, Tallinn"</f>
        <v>Eesti Raamat, Tallinn</v>
      </c>
      <c r="L534" t="str">
        <f>"2. p."</f>
        <v>2. p.</v>
      </c>
      <c r="M534" t="str">
        <f>"9985-65-099-9"</f>
        <v>9985-65-099-9</v>
      </c>
    </row>
    <row r="535" spans="1:13" ht="15">
      <c r="A535" t="s">
        <v>474</v>
      </c>
      <c r="B535" t="str">
        <f>"4595"</f>
        <v>4595</v>
      </c>
      <c r="C535" t="str">
        <f>"1993"</f>
        <v>1993</v>
      </c>
      <c r="D535" t="str">
        <f>"Pirtukuningas"</f>
        <v>Pirtukuningas</v>
      </c>
      <c r="E535" t="str">
        <f t="shared" si="48"/>
        <v>viro</v>
      </c>
      <c r="F535" t="str">
        <f>"romaanid; proosa"</f>
        <v>romaanid; proosa</v>
      </c>
      <c r="G535" t="str">
        <f>"  täiskasvanud"</f>
        <v xml:space="preserve">  täiskasvanud</v>
      </c>
      <c r="H535" t="str">
        <f t="shared" si="50"/>
        <v>1997</v>
      </c>
      <c r="I535" t="str">
        <f>"Piiritusekuningas"</f>
        <v>Piiritusekuningas</v>
      </c>
      <c r="J535" t="str">
        <f>"Vaba, Mari"</f>
        <v>Vaba, Mari</v>
      </c>
      <c r="K535" t="str">
        <f>"Eesti Raamat, Tallinn"</f>
        <v>Eesti Raamat, Tallinn</v>
      </c>
      <c r="L535" t="str">
        <f>""</f>
        <v/>
      </c>
      <c r="M535" t="str">
        <f>"9985-65-140-5"</f>
        <v>9985-65-140-5</v>
      </c>
    </row>
    <row r="536" spans="1:13" ht="15">
      <c r="A536" t="s">
        <v>504</v>
      </c>
      <c r="B536" t="str">
        <f>"4578"</f>
        <v>4578</v>
      </c>
      <c r="C536" t="str">
        <f>"1964"</f>
        <v>1964</v>
      </c>
      <c r="D536" t="str">
        <f>"Mustat kalat"</f>
        <v>Mustat kalat</v>
      </c>
      <c r="E536" t="str">
        <f t="shared" si="48"/>
        <v>viro</v>
      </c>
      <c r="F536" t="str">
        <f>"romaanid; põnevus- ja krimikirjandus; proosa"</f>
        <v>romaanid; põnevus- ja krimikirjandus; proosa</v>
      </c>
      <c r="G536" t="str">
        <f>"  täiskasvanud"</f>
        <v xml:space="preserve">  täiskasvanud</v>
      </c>
      <c r="H536" t="str">
        <f t="shared" si="50"/>
        <v>1997</v>
      </c>
      <c r="I536" t="str">
        <f>"Mustad kalad"</f>
        <v>Mustad kalad</v>
      </c>
      <c r="J536" t="str">
        <f>"Paikre, Ants"</f>
        <v>Paikre, Ants</v>
      </c>
      <c r="K536" t="str">
        <f>"Eesti Raamat, Tallinn"</f>
        <v>Eesti Raamat, Tallinn</v>
      </c>
      <c r="L536" t="str">
        <f>""</f>
        <v/>
      </c>
      <c r="M536" t="str">
        <f>"9985-65-135-9"</f>
        <v>9985-65-135-9</v>
      </c>
    </row>
    <row r="537" spans="2:13" ht="15">
      <c r="B537" t="str">
        <f>"4657"</f>
        <v>4657</v>
      </c>
      <c r="C537" t="str">
        <f>""</f>
        <v/>
      </c>
      <c r="D537" t="str">
        <f>""</f>
        <v/>
      </c>
      <c r="E537" t="str">
        <f t="shared" si="48"/>
        <v>viro</v>
      </c>
      <c r="F537" t="str">
        <f>"luule, lüürika"</f>
        <v>luule, lüürika</v>
      </c>
      <c r="G537" t="str">
        <f>"  täiskasvanud"</f>
        <v xml:space="preserve">  täiskasvanud</v>
      </c>
      <c r="H537" t="str">
        <f aca="true" t="shared" si="51" ref="H537:H556">"1998"</f>
        <v>1998</v>
      </c>
      <c r="I537" t="str">
        <f>"Soome lembelüürika"</f>
        <v>Soome lembelüürika</v>
      </c>
      <c r="J537" t="str">
        <f>"Mirtem, Valev"</f>
        <v>Mirtem, Valev</v>
      </c>
      <c r="K537" t="str">
        <f>"Eesti Luuleliit, Tallinn"</f>
        <v>Eesti Luuleliit, Tallinn</v>
      </c>
      <c r="L537" t="str">
        <f>""</f>
        <v/>
      </c>
      <c r="M537" t="str">
        <f>""</f>
        <v/>
      </c>
    </row>
    <row r="538" spans="1:13" ht="15">
      <c r="A538" t="s">
        <v>15</v>
      </c>
      <c r="B538" t="str">
        <f>"15408"</f>
        <v>15408</v>
      </c>
      <c r="C538" t="str">
        <f>"1997"</f>
        <v>1997</v>
      </c>
      <c r="D538" t="str">
        <f>"Papukaija pakastimessa"</f>
        <v>Papukaija pakastimessa</v>
      </c>
      <c r="E538" t="str">
        <f t="shared" si="48"/>
        <v>viro</v>
      </c>
      <c r="F538" t="str">
        <f>"folkloor"</f>
        <v>folkloor</v>
      </c>
      <c r="G538" t="str">
        <f>"  täiskasvanud"</f>
        <v xml:space="preserve">  täiskasvanud</v>
      </c>
      <c r="H538" t="str">
        <f t="shared" si="51"/>
        <v>1998</v>
      </c>
      <c r="I538" t="str">
        <f>"Papagoi sügavkülmas"</f>
        <v>Papagoi sügavkülmas</v>
      </c>
      <c r="J538" t="str">
        <f>"Jürima, Maire"</f>
        <v>Jürima, Maire</v>
      </c>
      <c r="K538" t="str">
        <f>"Sinisukk, Tallinn"</f>
        <v>Sinisukk, Tallinn</v>
      </c>
      <c r="L538" t="str">
        <f>""</f>
        <v/>
      </c>
      <c r="M538" t="str">
        <f>"9985-73-042-9"</f>
        <v>9985-73-042-9</v>
      </c>
    </row>
    <row r="539" spans="1:13" ht="15">
      <c r="A539" t="s">
        <v>24</v>
      </c>
      <c r="B539" t="str">
        <f>"4723"</f>
        <v>4723</v>
      </c>
      <c r="C539" t="str">
        <f>"1998"</f>
        <v>1998</v>
      </c>
      <c r="D539" t="str">
        <f>"Kalevala - suomalaisten kansalliseepos"</f>
        <v>Kalevala - suomalaisten kansalliseepos</v>
      </c>
      <c r="E539" t="str">
        <f t="shared" si="48"/>
        <v>viro</v>
      </c>
      <c r="F539" t="str">
        <f>""</f>
        <v/>
      </c>
      <c r="G539" t="str">
        <f>"  täiskasvanud"</f>
        <v xml:space="preserve">  täiskasvanud</v>
      </c>
      <c r="H539" t="str">
        <f t="shared" si="51"/>
        <v>1998</v>
      </c>
      <c r="I539" t="str">
        <f>"Kalevala - soome rahvuseepos"</f>
        <v>Kalevala - soome rahvuseepos</v>
      </c>
      <c r="J539" t="str">
        <f>"Petrova, Irina"</f>
        <v>Petrova, Irina</v>
      </c>
      <c r="K539" t="str">
        <f>"Soome välisministeerium, Helsinki"</f>
        <v>Soome välisministeerium, Helsinki</v>
      </c>
      <c r="L539" t="str">
        <f>""</f>
        <v/>
      </c>
      <c r="M539" t="str">
        <f>""</f>
        <v/>
      </c>
    </row>
    <row r="540" spans="1:13" ht="15">
      <c r="A540" t="s">
        <v>50</v>
      </c>
      <c r="B540" t="str">
        <f>"6953"</f>
        <v>6953</v>
      </c>
      <c r="C540" t="str">
        <f>"1997"</f>
        <v>1997</v>
      </c>
      <c r="D540" t="str">
        <f>"Ei koskaan liian myöhäistä saada onnellinen lapsuus"</f>
        <v>Ei koskaan liian myöhäistä saada onnellinen lapsuus</v>
      </c>
      <c r="E540" t="str">
        <f t="shared" si="48"/>
        <v>viro</v>
      </c>
      <c r="F540" t="str">
        <f>""</f>
        <v/>
      </c>
      <c r="G540" t="str">
        <f>"  täiskasvanud"</f>
        <v xml:space="preserve">  täiskasvanud</v>
      </c>
      <c r="H540" t="str">
        <f t="shared" si="51"/>
        <v>1998</v>
      </c>
      <c r="I540" t="str">
        <f>"Kunagi pole liiga hilja saada õnnelik lapsepõlv"</f>
        <v>Kunagi pole liiga hilja saada õnnelik lapsepõlv</v>
      </c>
      <c r="J540" t="str">
        <f>"Jürima, Maire"</f>
        <v>Jürima, Maire</v>
      </c>
      <c r="K540" t="str">
        <f>"Sinisukk, Tallinn"</f>
        <v>Sinisukk, Tallinn</v>
      </c>
      <c r="L540" t="str">
        <f>""</f>
        <v/>
      </c>
      <c r="M540" t="str">
        <f>"9985-73-035-6"</f>
        <v>9985-73-035-6</v>
      </c>
    </row>
    <row r="541" spans="1:13" ht="15">
      <c r="A541" t="s">
        <v>76</v>
      </c>
      <c r="B541" t="str">
        <f>"4642"</f>
        <v>4642</v>
      </c>
      <c r="C541" t="str">
        <f>"1996"</f>
        <v>1996</v>
      </c>
      <c r="D541" t="str">
        <f>"Satakielimetsä"</f>
        <v>Satakielimetsä</v>
      </c>
      <c r="E541" t="str">
        <f t="shared" si="48"/>
        <v>viro</v>
      </c>
      <c r="F541" t="str">
        <f>"romaanid; proosa"</f>
        <v>romaanid; proosa</v>
      </c>
      <c r="G541" t="str">
        <f>"  täiskasvanud"</f>
        <v xml:space="preserve">  täiskasvanud</v>
      </c>
      <c r="H541" t="str">
        <f t="shared" si="51"/>
        <v>1998</v>
      </c>
      <c r="I541" t="str">
        <f>"Ööbikusalu"</f>
        <v>Ööbikusalu</v>
      </c>
      <c r="J541" t="str">
        <f>"Vaarandi, Debora"</f>
        <v>Vaarandi, Debora</v>
      </c>
      <c r="K541" t="str">
        <f>"Eesti Raamat, Tallinn"</f>
        <v>Eesti Raamat, Tallinn</v>
      </c>
      <c r="L541" t="str">
        <f>""</f>
        <v/>
      </c>
      <c r="M541" t="str">
        <f>"9985-65-185-5"</f>
        <v>9985-65-185-5</v>
      </c>
    </row>
    <row r="542" spans="1:13" ht="15">
      <c r="A542" t="s">
        <v>99</v>
      </c>
      <c r="B542" t="str">
        <f>"4702"</f>
        <v>4702</v>
      </c>
      <c r="C542" t="str">
        <f>"1996"</f>
        <v>1996</v>
      </c>
      <c r="D542" t="str">
        <f>"Kunnian kauppiaat"</f>
        <v>Kunnian kauppiaat</v>
      </c>
      <c r="E542" t="str">
        <f t="shared" si="48"/>
        <v>viro</v>
      </c>
      <c r="F542" t="str">
        <f>"romaanid; proosa"</f>
        <v>romaanid; proosa</v>
      </c>
      <c r="G542" t="str">
        <f>"  täiskasvanud"</f>
        <v xml:space="preserve">  täiskasvanud</v>
      </c>
      <c r="H542" t="str">
        <f t="shared" si="51"/>
        <v>1998</v>
      </c>
      <c r="I542" t="str">
        <f>"Auga kaubitsejad"</f>
        <v>Auga kaubitsejad</v>
      </c>
      <c r="J542" t="str">
        <f>"Vaba, Mari"</f>
        <v>Vaba, Mari</v>
      </c>
      <c r="K542" t="str">
        <f>"Eesti Raamat, Tallinn"</f>
        <v>Eesti Raamat, Tallinn</v>
      </c>
      <c r="L542" t="str">
        <f>""</f>
        <v/>
      </c>
      <c r="M542" t="str">
        <f>"9985-65-191-X"</f>
        <v>9985-65-191-X</v>
      </c>
    </row>
    <row r="543" spans="1:13" ht="15">
      <c r="A543" t="s">
        <v>110</v>
      </c>
      <c r="B543" t="str">
        <f>"4693"</f>
        <v>4693</v>
      </c>
      <c r="C543" t="str">
        <f>"1995"</f>
        <v>1995</v>
      </c>
      <c r="D543" t="str">
        <f>"Liian paksu perhoseksi"</f>
        <v>Liian paksu perhoseksi</v>
      </c>
      <c r="E543" t="str">
        <f t="shared" si="48"/>
        <v>viro</v>
      </c>
      <c r="F543" t="str">
        <f>"romaanid; proosa"</f>
        <v>romaanid; proosa</v>
      </c>
      <c r="G543" t="str">
        <f>"  täiskasvanud"</f>
        <v xml:space="preserve">  täiskasvanud</v>
      </c>
      <c r="H543" t="str">
        <f t="shared" si="51"/>
        <v>1998</v>
      </c>
      <c r="I543" t="str">
        <f>"Liiga paks, et olla liblikas"</f>
        <v>Liiga paks, et olla liblikas</v>
      </c>
      <c r="J543" t="str">
        <f>"Reimus, Katrin"</f>
        <v>Reimus, Katrin</v>
      </c>
      <c r="K543" t="str">
        <f>"Virgela, Tallinn"</f>
        <v>Virgela, Tallinn</v>
      </c>
      <c r="L543" t="str">
        <f>""</f>
        <v/>
      </c>
      <c r="M543" t="str">
        <f>"9985-862-77-5"</f>
        <v>9985-862-77-5</v>
      </c>
    </row>
    <row r="544" spans="1:13" ht="15">
      <c r="A544" t="s">
        <v>120</v>
      </c>
      <c r="B544" t="str">
        <f>"4856"</f>
        <v>4856</v>
      </c>
      <c r="C544" t="str">
        <f>"1986"</f>
        <v>1986</v>
      </c>
      <c r="D544" t="str">
        <f>"Harjunpää ja kiusantekijät"</f>
        <v>Harjunpää ja kiusantekijät</v>
      </c>
      <c r="E544" t="str">
        <f t="shared" si="48"/>
        <v>viro</v>
      </c>
      <c r="F544" t="str">
        <f>"romaanid; põnevus- ja krimikirjandus; proosa"</f>
        <v>romaanid; põnevus- ja krimikirjandus; proosa</v>
      </c>
      <c r="G544" t="str">
        <f>"  täiskasvanud"</f>
        <v xml:space="preserve">  täiskasvanud</v>
      </c>
      <c r="H544" t="str">
        <f t="shared" si="51"/>
        <v>1998</v>
      </c>
      <c r="I544" t="str">
        <f>"Harjunpää ja kiusajad"</f>
        <v>Harjunpää ja kiusajad</v>
      </c>
      <c r="J544" t="str">
        <f>"Huik, Toomas"</f>
        <v>Huik, Toomas</v>
      </c>
      <c r="K544" t="str">
        <f>"Eesti Raamat, Tallinn"</f>
        <v>Eesti Raamat, Tallinn</v>
      </c>
      <c r="L544" t="str">
        <f>""</f>
        <v/>
      </c>
      <c r="M544" t="str">
        <f>"9985-65-179-0"</f>
        <v>9985-65-179-0</v>
      </c>
    </row>
    <row r="545" spans="1:13" ht="15">
      <c r="A545" t="s">
        <v>147</v>
      </c>
      <c r="B545" t="str">
        <f>"4733"</f>
        <v>4733</v>
      </c>
      <c r="C545" t="str">
        <f>"1959"</f>
        <v>1959</v>
      </c>
      <c r="D545" t="str">
        <f>"Elämäntoveri"</f>
        <v>Elämäntoveri</v>
      </c>
      <c r="E545" t="str">
        <f t="shared" si="48"/>
        <v>viro</v>
      </c>
      <c r="F545" t="str">
        <f>""</f>
        <v/>
      </c>
      <c r="G545" t="str">
        <f>"  täiskasvanud"</f>
        <v xml:space="preserve">  täiskasvanud</v>
      </c>
      <c r="H545" t="str">
        <f t="shared" si="51"/>
        <v>1998</v>
      </c>
      <c r="I545" t="str">
        <f>"Elukaaslane"</f>
        <v>Elukaaslane</v>
      </c>
      <c r="J545" t="str">
        <f>"Kelle, Helgi, Laagus, Aino"</f>
        <v>Kelle, Helgi, Laagus, Aino</v>
      </c>
      <c r="K545" t="str">
        <f>"Perioodika, Tallinn"</f>
        <v>Perioodika, Tallinn</v>
      </c>
      <c r="L545" t="str">
        <f>""</f>
        <v/>
      </c>
      <c r="M545" t="str">
        <f>"9985-868-42-0"</f>
        <v>9985-868-42-0</v>
      </c>
    </row>
    <row r="546" spans="1:13" ht="15">
      <c r="A546" t="s">
        <v>216</v>
      </c>
      <c r="B546" t="str">
        <f>"14966"</f>
        <v>14966</v>
      </c>
      <c r="C546" t="str">
        <f>"1972"</f>
        <v>1972</v>
      </c>
      <c r="D546" t="str">
        <f>"Puupuu ja Käpypoika"</f>
        <v>Puupuu ja Käpypoika</v>
      </c>
      <c r="E546" t="str">
        <f t="shared" si="48"/>
        <v>viro</v>
      </c>
      <c r="F546" t="str">
        <f>"luule, lüürika"</f>
        <v>luule, lüürika</v>
      </c>
      <c r="G546" t="str">
        <f>" lapsed ja noored"</f>
        <v xml:space="preserve"> lapsed ja noored</v>
      </c>
      <c r="H546" t="str">
        <f t="shared" si="51"/>
        <v>1998</v>
      </c>
      <c r="I546" t="str">
        <f>"Kolks-puu ja Käbipoiss"</f>
        <v>Kolks-puu ja Käbipoiss</v>
      </c>
      <c r="J546" t="str">
        <f>"Prints, Olga"</f>
        <v>Prints, Olga</v>
      </c>
      <c r="K546" t="str">
        <f>"EÜS Veljesto kirjastus, Tartu"</f>
        <v>EÜS Veljesto kirjastus, Tartu</v>
      </c>
      <c r="L546" t="str">
        <f>""</f>
        <v/>
      </c>
      <c r="M546" t="str">
        <f>"9985908554"</f>
        <v>9985908554</v>
      </c>
    </row>
    <row r="547" spans="1:13" ht="15">
      <c r="A547" t="s">
        <v>230</v>
      </c>
      <c r="B547" t="str">
        <f>"4679"</f>
        <v>4679</v>
      </c>
      <c r="C547" t="str">
        <f>"1996"</f>
        <v>1996</v>
      </c>
      <c r="D547" t="str">
        <f>"Huoneekseni tuli maailma"</f>
        <v>Huoneekseni tuli maailma</v>
      </c>
      <c r="E547" t="str">
        <f t="shared" si="48"/>
        <v>viro</v>
      </c>
      <c r="F547" t="str">
        <f>""</f>
        <v/>
      </c>
      <c r="G547" t="str">
        <f>"  täiskasvanud"</f>
        <v xml:space="preserve">  täiskasvanud</v>
      </c>
      <c r="H547" t="str">
        <f t="shared" si="51"/>
        <v>1998</v>
      </c>
      <c r="I547" t="str">
        <f>"Minu toaks sai maailm"</f>
        <v>Minu toaks sai maailm</v>
      </c>
      <c r="J547" t="str">
        <f>"Wåhlberg, Inga"</f>
        <v>Wåhlberg, Inga</v>
      </c>
      <c r="K547" t="str">
        <f>"Eesti Lihasehaigete Selts, Tallinn"</f>
        <v>Eesti Lihasehaigete Selts, Tallinn</v>
      </c>
      <c r="L547" t="str">
        <f>""</f>
        <v/>
      </c>
      <c r="M547" t="str">
        <f>""</f>
        <v/>
      </c>
    </row>
    <row r="548" spans="1:13" ht="15">
      <c r="A548" t="s">
        <v>255</v>
      </c>
      <c r="B548" t="str">
        <f>"4696"</f>
        <v>4696</v>
      </c>
      <c r="C548" t="str">
        <f>"1954"</f>
        <v>1954</v>
      </c>
      <c r="D548" t="str">
        <f>"Eino Leinon kauneimmat runot"</f>
        <v>Eino Leinon kauneimmat runot</v>
      </c>
      <c r="E548" t="str">
        <f t="shared" si="48"/>
        <v>viro</v>
      </c>
      <c r="F548" t="str">
        <f>"luule, lüürika"</f>
        <v>luule, lüürika</v>
      </c>
      <c r="G548" t="str">
        <f>"  täiskasvanud"</f>
        <v xml:space="preserve">  täiskasvanud</v>
      </c>
      <c r="H548" t="str">
        <f t="shared" si="51"/>
        <v>1998</v>
      </c>
      <c r="I548" t="str">
        <f>"Päikesepoeg"</f>
        <v>Päikesepoeg</v>
      </c>
      <c r="J548" t="str">
        <f>"Annist, August, Niit, Ellen, Oras, Ants, Suits, Gustav, Vaarandi, Debora"</f>
        <v>Annist, August, Niit, Ellen, Oras, Ants, Suits, Gustav, Vaarandi, Debora</v>
      </c>
      <c r="K548" t="str">
        <f>"Eesti Raamat, Tallinn"</f>
        <v>Eesti Raamat, Tallinn</v>
      </c>
      <c r="L548" t="str">
        <f>""</f>
        <v/>
      </c>
      <c r="M548" t="str">
        <f>"9985-65-219-3"</f>
        <v>9985-65-219-3</v>
      </c>
    </row>
    <row r="549" spans="1:13" ht="15">
      <c r="A549" t="s">
        <v>272</v>
      </c>
      <c r="B549" t="str">
        <f>"6692"</f>
        <v>6692</v>
      </c>
      <c r="C549" t="str">
        <f>"1959"</f>
        <v>1959</v>
      </c>
      <c r="D549" t="str">
        <f>"Täällä Pohjantähden alla. 3"</f>
        <v>Täällä Pohjantähden alla. 3</v>
      </c>
      <c r="E549" t="str">
        <f t="shared" si="48"/>
        <v>viro</v>
      </c>
      <c r="F549" t="str">
        <f>"romaanid; proosa"</f>
        <v>romaanid; proosa</v>
      </c>
      <c r="G549" t="str">
        <f>"  täiskasvanud"</f>
        <v xml:space="preserve">  täiskasvanud</v>
      </c>
      <c r="H549" t="str">
        <f t="shared" si="51"/>
        <v>1998</v>
      </c>
      <c r="I549" t="str">
        <f>"Siin Põhjatähe all. 3"</f>
        <v>Siin Põhjatähe all. 3</v>
      </c>
      <c r="J549" t="str">
        <f>"Mallene, Endel"</f>
        <v>Mallene, Endel</v>
      </c>
      <c r="K549" t="str">
        <f>"Olion, Tallinn"</f>
        <v>Olion, Tallinn</v>
      </c>
      <c r="L549" t="str">
        <f>""</f>
        <v/>
      </c>
      <c r="M549" t="str">
        <f>"9985-66-106-0"</f>
        <v>9985-66-106-0</v>
      </c>
    </row>
    <row r="550" spans="1:13" ht="15">
      <c r="A550" t="s">
        <v>307</v>
      </c>
      <c r="B550" t="str">
        <f>"4743"</f>
        <v>4743</v>
      </c>
      <c r="C550" t="str">
        <f>""</f>
        <v/>
      </c>
      <c r="D550" t="str">
        <f>""</f>
        <v/>
      </c>
      <c r="E550" t="str">
        <f t="shared" si="48"/>
        <v>viro</v>
      </c>
      <c r="F550" t="str">
        <f>"luule, lüürika"</f>
        <v>luule, lüürika</v>
      </c>
      <c r="G550" t="str">
        <f>"  täiskasvanud"</f>
        <v xml:space="preserve">  täiskasvanud</v>
      </c>
      <c r="H550" t="str">
        <f t="shared" si="51"/>
        <v>1998</v>
      </c>
      <c r="I550" t="str">
        <f>"Printsess Hysteria"</f>
        <v>Printsess Hysteria</v>
      </c>
      <c r="J550" t="str">
        <f>"Sang, Joel"</f>
        <v>Sang, Joel</v>
      </c>
      <c r="K550" t="str">
        <f>"Vagabund, Tallinn"</f>
        <v>Vagabund, Tallinn</v>
      </c>
      <c r="L550" t="str">
        <f>""</f>
        <v/>
      </c>
      <c r="M550" t="str">
        <f>"9985-835-30-1"</f>
        <v>9985-835-30-1</v>
      </c>
    </row>
    <row r="551" spans="1:13" ht="15">
      <c r="A551" t="s">
        <v>311</v>
      </c>
      <c r="B551" t="str">
        <f>"4723"</f>
        <v>4723</v>
      </c>
      <c r="C551" t="str">
        <f>"1998"</f>
        <v>1998</v>
      </c>
      <c r="D551" t="str">
        <f>"Kalevala - suomalaisten kansalliseepos"</f>
        <v>Kalevala - suomalaisten kansalliseepos</v>
      </c>
      <c r="E551" t="str">
        <f t="shared" si="48"/>
        <v>viro</v>
      </c>
      <c r="F551" t="str">
        <f>""</f>
        <v/>
      </c>
      <c r="G551" t="str">
        <f>"  täiskasvanud"</f>
        <v xml:space="preserve">  täiskasvanud</v>
      </c>
      <c r="H551" t="str">
        <f t="shared" si="51"/>
        <v>1998</v>
      </c>
      <c r="I551" t="str">
        <f>"Kalevala - soome rahvuseepos"</f>
        <v>Kalevala - soome rahvuseepos</v>
      </c>
      <c r="J551" t="str">
        <f>"Petrova, Irina"</f>
        <v>Petrova, Irina</v>
      </c>
      <c r="K551" t="str">
        <f>"Soome välisministeerium, Helsinki"</f>
        <v>Soome välisministeerium, Helsinki</v>
      </c>
      <c r="L551" t="str">
        <f>""</f>
        <v/>
      </c>
      <c r="M551" t="str">
        <f>""</f>
        <v/>
      </c>
    </row>
    <row r="552" spans="1:13" ht="15">
      <c r="A552" t="s">
        <v>325</v>
      </c>
      <c r="B552" t="str">
        <f>"14965"</f>
        <v>14965</v>
      </c>
      <c r="C552" t="str">
        <f>"1996"</f>
        <v>1996</v>
      </c>
      <c r="D552" t="str">
        <f>"Varis Vaakku joka siivet sai"</f>
        <v>Varis Vaakku joka siivet sai</v>
      </c>
      <c r="E552" t="str">
        <f t="shared" si="48"/>
        <v>viro</v>
      </c>
      <c r="F552" t="str">
        <f>"pildiraamatud"</f>
        <v>pildiraamatud</v>
      </c>
      <c r="G552" t="str">
        <f>" lapsed ja noored"</f>
        <v xml:space="preserve"> lapsed ja noored</v>
      </c>
      <c r="H552" t="str">
        <f t="shared" si="51"/>
        <v>1998</v>
      </c>
      <c r="I552" t="str">
        <f>"Kuidas varesepoeg Vaak tiivad sai"</f>
        <v>Kuidas varesepoeg Vaak tiivad sai</v>
      </c>
      <c r="J552" t="str">
        <f>""</f>
        <v/>
      </c>
      <c r="K552" t="str">
        <f>"TormiKiri, Kuressaare"</f>
        <v>TormiKiri, Kuressaare</v>
      </c>
      <c r="L552" t="str">
        <f>""</f>
        <v/>
      </c>
      <c r="M552" t="str">
        <f>""</f>
        <v/>
      </c>
    </row>
    <row r="553" spans="1:13" ht="15">
      <c r="A553" t="s">
        <v>375</v>
      </c>
      <c r="B553" t="str">
        <f>"6964"</f>
        <v>6964</v>
      </c>
      <c r="C553" t="str">
        <f>"1994"</f>
        <v>1994</v>
      </c>
      <c r="D553" t="str">
        <f>"Ihmeellinen Italia"</f>
        <v>Ihmeellinen Italia</v>
      </c>
      <c r="E553" t="str">
        <f t="shared" si="48"/>
        <v>viro</v>
      </c>
      <c r="F553" t="str">
        <f>""</f>
        <v/>
      </c>
      <c r="G553" t="str">
        <f>"  täiskasvanud"</f>
        <v xml:space="preserve">  täiskasvanud</v>
      </c>
      <c r="H553" t="str">
        <f t="shared" si="51"/>
        <v>1998</v>
      </c>
      <c r="I553" t="str">
        <f>"Isemoodi Itaalia"</f>
        <v>Isemoodi Itaalia</v>
      </c>
      <c r="J553" t="str">
        <f>"Kurg, Kalle, Viirand, Tiiu"</f>
        <v>Kurg, Kalle, Viirand, Tiiu</v>
      </c>
      <c r="K553" t="str">
        <f>"Kunst, Tallinn"</f>
        <v>Kunst, Tallinn</v>
      </c>
      <c r="L553" t="str">
        <f>""</f>
        <v/>
      </c>
      <c r="M553" t="str">
        <f>"5-89920-181-9"</f>
        <v>5-89920-181-9</v>
      </c>
    </row>
    <row r="554" spans="1:13" ht="15">
      <c r="A554" t="s">
        <v>411</v>
      </c>
      <c r="B554" t="str">
        <f>"6967"</f>
        <v>6967</v>
      </c>
      <c r="C554" t="str">
        <f>"1942"</f>
        <v>1942</v>
      </c>
      <c r="D554" t="str">
        <f>"Mihin kasvimme kelpaavat"</f>
        <v>Mihin kasvimme kelpaavat</v>
      </c>
      <c r="E554" t="str">
        <f t="shared" si="48"/>
        <v>viro</v>
      </c>
      <c r="F554" t="str">
        <f>""</f>
        <v/>
      </c>
      <c r="G554" t="str">
        <f>"  täiskasvanud"</f>
        <v xml:space="preserve">  täiskasvanud</v>
      </c>
      <c r="H554" t="str">
        <f t="shared" si="51"/>
        <v>1998</v>
      </c>
      <c r="I554" t="str">
        <f>"Kuidas meie taimi kasutada"</f>
        <v>Kuidas meie taimi kasutada</v>
      </c>
      <c r="J554" t="str">
        <f>"Jürima, Maire"</f>
        <v>Jürima, Maire</v>
      </c>
      <c r="K554" t="str">
        <f>"Sinisukk, Tallinn"</f>
        <v>Sinisukk, Tallinn</v>
      </c>
      <c r="L554" t="str">
        <f>""</f>
        <v/>
      </c>
      <c r="M554" t="str">
        <f>"9985-73-017-8"</f>
        <v>9985-73-017-8</v>
      </c>
    </row>
    <row r="555" spans="1:13" ht="15">
      <c r="A555" t="s">
        <v>450</v>
      </c>
      <c r="B555" t="str">
        <f>"4679"</f>
        <v>4679</v>
      </c>
      <c r="C555" t="str">
        <f>"1996"</f>
        <v>1996</v>
      </c>
      <c r="D555" t="str">
        <f>"Huoneekseni tuli maailma"</f>
        <v>Huoneekseni tuli maailma</v>
      </c>
      <c r="E555" t="str">
        <f t="shared" si="48"/>
        <v>viro</v>
      </c>
      <c r="F555" t="str">
        <f>""</f>
        <v/>
      </c>
      <c r="G555" t="str">
        <f>"  täiskasvanud"</f>
        <v xml:space="preserve">  täiskasvanud</v>
      </c>
      <c r="H555" t="str">
        <f t="shared" si="51"/>
        <v>1998</v>
      </c>
      <c r="I555" t="str">
        <f>"Minu toaks sai maailm"</f>
        <v>Minu toaks sai maailm</v>
      </c>
      <c r="J555" t="str">
        <f>"Wåhlberg, Inga"</f>
        <v>Wåhlberg, Inga</v>
      </c>
      <c r="K555" t="str">
        <f>"Eesti Lihasehaigete Selts, Tallinn"</f>
        <v>Eesti Lihasehaigete Selts, Tallinn</v>
      </c>
      <c r="L555" t="str">
        <f>""</f>
        <v/>
      </c>
      <c r="M555" t="str">
        <f>""</f>
        <v/>
      </c>
    </row>
    <row r="556" spans="1:13" ht="15">
      <c r="A556" t="s">
        <v>572</v>
      </c>
      <c r="B556" t="str">
        <f>"4930"</f>
        <v>4930</v>
      </c>
      <c r="C556" t="str">
        <f>"1986"</f>
        <v>1986</v>
      </c>
      <c r="D556" t="str">
        <f>"Viisi laukausta senaatissa : Eugen Schaumanin elämä ja teko"</f>
        <v>Viisi laukausta senaatissa : Eugen Schaumanin elämä ja teko</v>
      </c>
      <c r="E556" t="str">
        <f t="shared" si="48"/>
        <v>viro</v>
      </c>
      <c r="F556" t="str">
        <f>""</f>
        <v/>
      </c>
      <c r="G556" t="str">
        <f>"  täiskasvanud"</f>
        <v xml:space="preserve">  täiskasvanud</v>
      </c>
      <c r="H556" t="str">
        <f t="shared" si="51"/>
        <v>1998</v>
      </c>
      <c r="I556" t="str">
        <f>"Viis lasku senatis"</f>
        <v>Viis lasku senatis</v>
      </c>
      <c r="J556" t="str">
        <f>"Bahovski, Erkki"</f>
        <v>Bahovski, Erkki</v>
      </c>
      <c r="K556" t="str">
        <f>"Kupar, Tallinn"</f>
        <v>Kupar, Tallinn</v>
      </c>
      <c r="L556" t="str">
        <f>""</f>
        <v/>
      </c>
      <c r="M556" t="str">
        <f>""</f>
        <v/>
      </c>
    </row>
    <row r="557" spans="1:13" ht="15">
      <c r="A557" t="s">
        <v>15</v>
      </c>
      <c r="B557" t="str">
        <f>"4822"</f>
        <v>4822</v>
      </c>
      <c r="C557" t="str">
        <f>"1998"</f>
        <v>1998</v>
      </c>
      <c r="D557" t="str">
        <f>"Savustettu sammuttaja"</f>
        <v>Savustettu sammuttaja</v>
      </c>
      <c r="E557" t="str">
        <f t="shared" si="48"/>
        <v>viro</v>
      </c>
      <c r="F557" t="str">
        <f>"folkloor"</f>
        <v>folkloor</v>
      </c>
      <c r="G557" t="str">
        <f>"  täiskasvanud"</f>
        <v xml:space="preserve">  täiskasvanud</v>
      </c>
      <c r="H557" t="str">
        <f aca="true" t="shared" si="52" ref="H557:H572">"1999"</f>
        <v>1999</v>
      </c>
      <c r="I557" t="str">
        <f>"Banaan pesumasinas"</f>
        <v>Banaan pesumasinas</v>
      </c>
      <c r="J557" t="str">
        <f>"Lepp, Andres"</f>
        <v>Lepp, Andres</v>
      </c>
      <c r="K557" t="str">
        <f>"Sinisukk, Tallinn"</f>
        <v>Sinisukk, Tallinn</v>
      </c>
      <c r="L557" t="str">
        <f>""</f>
        <v/>
      </c>
      <c r="M557" t="str">
        <f>"9985-73-084-4"</f>
        <v>9985-73-084-4</v>
      </c>
    </row>
    <row r="558" spans="1:13" ht="15">
      <c r="A558" t="s">
        <v>76</v>
      </c>
      <c r="B558" t="str">
        <f>"4697"</f>
        <v>4697</v>
      </c>
      <c r="C558" t="str">
        <f>"1997"</f>
        <v>1997</v>
      </c>
      <c r="D558" t="str">
        <f>"Viktoria"</f>
        <v>Viktoria</v>
      </c>
      <c r="E558" t="str">
        <f t="shared" si="48"/>
        <v>viro</v>
      </c>
      <c r="F558" t="str">
        <f>"romaanid; proosa"</f>
        <v>romaanid; proosa</v>
      </c>
      <c r="G558" t="str">
        <f>"  täiskasvanud"</f>
        <v xml:space="preserve">  täiskasvanud</v>
      </c>
      <c r="H558" t="str">
        <f t="shared" si="52"/>
        <v>1999</v>
      </c>
      <c r="I558" t="str">
        <f>"Victoria"</f>
        <v>Victoria</v>
      </c>
      <c r="J558" t="str">
        <f>"Karu, Anne"</f>
        <v>Karu, Anne</v>
      </c>
      <c r="K558" t="str">
        <f>"Eesti Raamat, Tallinn"</f>
        <v>Eesti Raamat, Tallinn</v>
      </c>
      <c r="L558" t="str">
        <f>""</f>
        <v/>
      </c>
      <c r="M558" t="str">
        <f>"9985-65-234-7"</f>
        <v>9985-65-234-7</v>
      </c>
    </row>
    <row r="559" spans="1:13" ht="15">
      <c r="A559" t="s">
        <v>127</v>
      </c>
      <c r="B559" t="str">
        <f>"4821"</f>
        <v>4821</v>
      </c>
      <c r="C559" t="str">
        <f>"1998"</f>
        <v>1998</v>
      </c>
      <c r="D559" t="str">
        <f>"Parhaat ruokasienet ja maukkaimmat sieniherkut"</f>
        <v>Parhaat ruokasienet ja maukkaimmat sieniherkut</v>
      </c>
      <c r="E559" t="str">
        <f aca="true" t="shared" si="53" ref="E559:E622">"viro"</f>
        <v>viro</v>
      </c>
      <c r="F559" t="str">
        <f>""</f>
        <v/>
      </c>
      <c r="G559" t="str">
        <f>"  täiskasvanud"</f>
        <v xml:space="preserve">  täiskasvanud</v>
      </c>
      <c r="H559" t="str">
        <f t="shared" si="52"/>
        <v>1999</v>
      </c>
      <c r="I559" t="str">
        <f>"Parimad söögiseened ja maitsvaimad seenehorgutised"</f>
        <v>Parimad söögiseened ja maitsvaimad seenehorgutised</v>
      </c>
      <c r="J559" t="str">
        <f>"Pais, Monika"</f>
        <v>Pais, Monika</v>
      </c>
      <c r="K559" t="str">
        <f>"Sinisukk, Tallinn"</f>
        <v>Sinisukk, Tallinn</v>
      </c>
      <c r="L559" t="str">
        <f>""</f>
        <v/>
      </c>
      <c r="M559" t="str">
        <f>"9985-73-075-5"</f>
        <v>9985-73-075-5</v>
      </c>
    </row>
    <row r="560" spans="1:13" ht="15">
      <c r="A560" t="s">
        <v>136</v>
      </c>
      <c r="B560" t="str">
        <f>"4821"</f>
        <v>4821</v>
      </c>
      <c r="C560" t="str">
        <f>"1998"</f>
        <v>1998</v>
      </c>
      <c r="D560" t="str">
        <f>"Parhaat ruokasienet ja maukkaimmat sieniherkut"</f>
        <v>Parhaat ruokasienet ja maukkaimmat sieniherkut</v>
      </c>
      <c r="E560" t="str">
        <f t="shared" si="53"/>
        <v>viro</v>
      </c>
      <c r="F560" t="str">
        <f>""</f>
        <v/>
      </c>
      <c r="G560" t="str">
        <f>"  täiskasvanud"</f>
        <v xml:space="preserve">  täiskasvanud</v>
      </c>
      <c r="H560" t="str">
        <f t="shared" si="52"/>
        <v>1999</v>
      </c>
      <c r="I560" t="str">
        <f>"Parimad söögiseened ja maitsvaimad seenehorgutised"</f>
        <v>Parimad söögiseened ja maitsvaimad seenehorgutised</v>
      </c>
      <c r="J560" t="str">
        <f>"Pais, Monika"</f>
        <v>Pais, Monika</v>
      </c>
      <c r="K560" t="str">
        <f>"Sinisukk, Tallinn"</f>
        <v>Sinisukk, Tallinn</v>
      </c>
      <c r="L560" t="str">
        <f>""</f>
        <v/>
      </c>
      <c r="M560" t="str">
        <f>"9985-73-075-5"</f>
        <v>9985-73-075-5</v>
      </c>
    </row>
    <row r="561" spans="1:13" ht="15">
      <c r="A561" t="s">
        <v>142</v>
      </c>
      <c r="B561" t="str">
        <f>"4820"</f>
        <v>4820</v>
      </c>
      <c r="C561" t="str">
        <f>"1997"</f>
        <v>1997</v>
      </c>
      <c r="D561" t="str">
        <f>"Talotohtori : rakentajan pikkujättiläinen"</f>
        <v>Talotohtori : rakentajan pikkujättiläinen</v>
      </c>
      <c r="E561" t="str">
        <f t="shared" si="53"/>
        <v>viro</v>
      </c>
      <c r="F561" t="str">
        <f>""</f>
        <v/>
      </c>
      <c r="G561" t="str">
        <f>"  täiskasvanud"</f>
        <v xml:space="preserve">  täiskasvanud</v>
      </c>
      <c r="H561" t="str">
        <f t="shared" si="52"/>
        <v>1999</v>
      </c>
      <c r="I561" t="str">
        <f>"Majatohter. 1-4"</f>
        <v>Majatohter. 1-4</v>
      </c>
      <c r="J561" t="str">
        <f>"Talli, Tiit"</f>
        <v>Talli, Tiit</v>
      </c>
      <c r="K561" t="str">
        <f>"Viplala, Tallinn"</f>
        <v>Viplala, Tallinn</v>
      </c>
      <c r="L561" t="str">
        <f>""</f>
        <v/>
      </c>
      <c r="M561" t="str">
        <f>"9985-890-18-3"</f>
        <v>9985-890-18-3</v>
      </c>
    </row>
    <row r="562" spans="1:13" ht="15">
      <c r="A562" t="s">
        <v>147</v>
      </c>
      <c r="B562" t="str">
        <f>"4799"</f>
        <v>4799</v>
      </c>
      <c r="C562" t="str">
        <f>"1935"</f>
        <v>1935</v>
      </c>
      <c r="D562" t="str">
        <f>"Tähdenlento : virolaisen runoilijattaren Koidulan elämä"</f>
        <v>Tähdenlento : virolaisen runoilijattaren Koidulan elämä</v>
      </c>
      <c r="E562" t="str">
        <f t="shared" si="53"/>
        <v>viro</v>
      </c>
      <c r="F562" t="str">
        <f>""</f>
        <v/>
      </c>
      <c r="G562" t="str">
        <f>"  täiskasvanud"</f>
        <v xml:space="preserve">  täiskasvanud</v>
      </c>
      <c r="H562" t="str">
        <f t="shared" si="52"/>
        <v>1999</v>
      </c>
      <c r="I562" t="str">
        <f>"Tähelend"</f>
        <v>Tähelend</v>
      </c>
      <c r="J562" t="str">
        <f>"Paikre, Ants"</f>
        <v>Paikre, Ants</v>
      </c>
      <c r="K562" t="str">
        <f>"Eesti Raamat, Tallinn"</f>
        <v>Eesti Raamat, Tallinn</v>
      </c>
      <c r="L562" t="str">
        <f>""</f>
        <v/>
      </c>
      <c r="M562" t="str">
        <f>"9985-65-255-X"</f>
        <v>9985-65-255-X</v>
      </c>
    </row>
    <row r="563" spans="1:13" ht="15">
      <c r="A563" t="s">
        <v>150</v>
      </c>
      <c r="B563" t="str">
        <f>"4814"</f>
        <v>4814</v>
      </c>
      <c r="C563" t="str">
        <f>"1994"</f>
        <v>1994</v>
      </c>
      <c r="D563" t="str">
        <f>"Suoraa toimintaa, Tossavaiset!"</f>
        <v>Suoraa toimintaa, Tossavaiset!</v>
      </c>
      <c r="E563" t="str">
        <f t="shared" si="53"/>
        <v>viro</v>
      </c>
      <c r="F563" t="str">
        <f>"romaanid; proosa"</f>
        <v>romaanid; proosa</v>
      </c>
      <c r="G563" t="str">
        <f>" lapsed ja noored"</f>
        <v xml:space="preserve"> lapsed ja noored</v>
      </c>
      <c r="H563" t="str">
        <f t="shared" si="52"/>
        <v>1999</v>
      </c>
      <c r="I563" t="str">
        <f>"Andke tuld, Tosmanid!"</f>
        <v>Andke tuld, Tosmanid!</v>
      </c>
      <c r="J563" t="str">
        <f>"Parbo, Vilma"</f>
        <v>Parbo, Vilma</v>
      </c>
      <c r="K563" t="str">
        <f>"Valgus, Tallinn"</f>
        <v>Valgus, Tallinn</v>
      </c>
      <c r="L563" t="str">
        <f>""</f>
        <v/>
      </c>
      <c r="M563" t="str">
        <f>"9985-68-068-5"</f>
        <v>9985-68-068-5</v>
      </c>
    </row>
    <row r="564" spans="1:13" ht="15">
      <c r="A564" t="s">
        <v>159</v>
      </c>
      <c r="B564" t="str">
        <f>"7715"</f>
        <v>7715</v>
      </c>
      <c r="C564" t="str">
        <f>"1997"</f>
        <v>1997</v>
      </c>
      <c r="D564" t="str">
        <f>"Sinun elämäsi suuri mahdollisuus"</f>
        <v>Sinun elämäsi suuri mahdollisuus</v>
      </c>
      <c r="E564" t="str">
        <f t="shared" si="53"/>
        <v>viro</v>
      </c>
      <c r="F564" t="str">
        <f>""</f>
        <v/>
      </c>
      <c r="G564" t="str">
        <f>"  täiskasvanud"</f>
        <v xml:space="preserve">  täiskasvanud</v>
      </c>
      <c r="H564" t="str">
        <f t="shared" si="52"/>
        <v>1999</v>
      </c>
      <c r="I564" t="str">
        <f>"Sinu elu suur võimalus"</f>
        <v>Sinu elu suur võimalus</v>
      </c>
      <c r="J564" t="str">
        <f>"Kurg, Kalle"</f>
        <v>Kurg, Kalle</v>
      </c>
      <c r="K564" t="str">
        <f>"Arkeidikos, Tallinn"</f>
        <v>Arkeidikos, Tallinn</v>
      </c>
      <c r="L564" t="str">
        <f>""</f>
        <v/>
      </c>
      <c r="M564" t="str">
        <f>"9985604377"</f>
        <v>9985604377</v>
      </c>
    </row>
    <row r="565" spans="1:13" ht="15">
      <c r="A565" t="s">
        <v>166</v>
      </c>
      <c r="B565" t="str">
        <f>"4755"</f>
        <v>4755</v>
      </c>
      <c r="C565" t="str">
        <f>"1996"</f>
        <v>1996</v>
      </c>
      <c r="D565" t="str">
        <f>"Syysprinssi"</f>
        <v>Syysprinssi</v>
      </c>
      <c r="E565" t="str">
        <f t="shared" si="53"/>
        <v>viro</v>
      </c>
      <c r="F565" t="str">
        <f>"romaanid; proosa"</f>
        <v>romaanid; proosa</v>
      </c>
      <c r="G565" t="str">
        <f>"  täiskasvanud"</f>
        <v xml:space="preserve">  täiskasvanud</v>
      </c>
      <c r="H565" t="str">
        <f t="shared" si="52"/>
        <v>1999</v>
      </c>
      <c r="I565" t="str">
        <f>"Sügisprints"</f>
        <v>Sügisprints</v>
      </c>
      <c r="J565" t="str">
        <f>"Kaldma, Agni"</f>
        <v>Kaldma, Agni</v>
      </c>
      <c r="K565" t="str">
        <f>"Valgus, Tallinn"</f>
        <v>Valgus, Tallinn</v>
      </c>
      <c r="L565" t="str">
        <f>""</f>
        <v/>
      </c>
      <c r="M565" t="str">
        <f>"9985-68-069-X"</f>
        <v>9985-68-069-X</v>
      </c>
    </row>
    <row r="566" spans="1:13" ht="15">
      <c r="A566" t="s">
        <v>209</v>
      </c>
      <c r="B566" t="str">
        <f>"4821"</f>
        <v>4821</v>
      </c>
      <c r="C566" t="str">
        <f>"1998"</f>
        <v>1998</v>
      </c>
      <c r="D566" t="str">
        <f>"Parhaat ruokasienet ja maukkaimmat sieniherkut"</f>
        <v>Parhaat ruokasienet ja maukkaimmat sieniherkut</v>
      </c>
      <c r="E566" t="str">
        <f t="shared" si="53"/>
        <v>viro</v>
      </c>
      <c r="F566" t="str">
        <f>""</f>
        <v/>
      </c>
      <c r="G566" t="str">
        <f>"  täiskasvanud"</f>
        <v xml:space="preserve">  täiskasvanud</v>
      </c>
      <c r="H566" t="str">
        <f t="shared" si="52"/>
        <v>1999</v>
      </c>
      <c r="I566" t="str">
        <f>"Parimad söögiseened ja maitsvaimad seenehorgutised"</f>
        <v>Parimad söögiseened ja maitsvaimad seenehorgutised</v>
      </c>
      <c r="J566" t="str">
        <f>"Pais, Monika"</f>
        <v>Pais, Monika</v>
      </c>
      <c r="K566" t="str">
        <f>"Sinisukk, Tallinn"</f>
        <v>Sinisukk, Tallinn</v>
      </c>
      <c r="L566" t="str">
        <f>""</f>
        <v/>
      </c>
      <c r="M566" t="str">
        <f>"9985-73-075-5"</f>
        <v>9985-73-075-5</v>
      </c>
    </row>
    <row r="567" spans="1:13" ht="15">
      <c r="A567" t="s">
        <v>319</v>
      </c>
      <c r="B567" t="str">
        <f>"4871"</f>
        <v>4871</v>
      </c>
      <c r="C567" t="str">
        <f>""</f>
        <v/>
      </c>
      <c r="D567" t="str">
        <f>""</f>
        <v/>
      </c>
      <c r="E567" t="str">
        <f t="shared" si="53"/>
        <v>viro</v>
      </c>
      <c r="F567" t="str">
        <f>"luule, lüürika"</f>
        <v>luule, lüürika</v>
      </c>
      <c r="G567" t="str">
        <f>"  täiskasvanud"</f>
        <v xml:space="preserve">  täiskasvanud</v>
      </c>
      <c r="H567" t="str">
        <f t="shared" si="52"/>
        <v>1999</v>
      </c>
      <c r="I567" t="str">
        <f>"Linnupüüdja"</f>
        <v>Linnupüüdja</v>
      </c>
      <c r="J567" t="str">
        <f>"Ehin, Andres, Seppel, Ly"</f>
        <v>Ehin, Andres, Seppel, Ly</v>
      </c>
      <c r="K567" t="str">
        <f>"Huma, [Tallinn]"</f>
        <v>Huma, [Tallinn]</v>
      </c>
      <c r="L567" t="str">
        <f>""</f>
        <v/>
      </c>
      <c r="M567" t="str">
        <f>"9985-898-15-X"</f>
        <v>9985-898-15-X</v>
      </c>
    </row>
    <row r="568" spans="1:13" ht="15">
      <c r="A568" t="s">
        <v>381</v>
      </c>
      <c r="B568" t="str">
        <f>"15174"</f>
        <v>15174</v>
      </c>
      <c r="C568" t="str">
        <f>"1999"</f>
        <v>1999</v>
      </c>
      <c r="D568" t="str">
        <f>"Samassa veneessä : pieniä sanoja ihmissuhteissa luoviville"</f>
        <v>Samassa veneessä : pieniä sanoja ihmissuhteissa luoviville</v>
      </c>
      <c r="E568" t="str">
        <f t="shared" si="53"/>
        <v>viro</v>
      </c>
      <c r="F568" t="str">
        <f>"aforismid. tsitaadid"</f>
        <v>aforismid. tsitaadid</v>
      </c>
      <c r="G568" t="str">
        <f>"  täiskasvanud"</f>
        <v xml:space="preserve">  täiskasvanud</v>
      </c>
      <c r="H568" t="str">
        <f t="shared" si="52"/>
        <v>1999</v>
      </c>
      <c r="I568" t="str">
        <f>"Ühes paadis"</f>
        <v>Ühes paadis</v>
      </c>
      <c r="J568" t="str">
        <f>"Jürima, Maire"</f>
        <v>Jürima, Maire</v>
      </c>
      <c r="K568" t="str">
        <f>"Sinisukk, Tallinn"</f>
        <v>Sinisukk, Tallinn</v>
      </c>
      <c r="L568" t="str">
        <f>""</f>
        <v/>
      </c>
      <c r="M568" t="str">
        <f>"9985730984"</f>
        <v>9985730984</v>
      </c>
    </row>
    <row r="569" spans="1:13" ht="15">
      <c r="A569" t="s">
        <v>381</v>
      </c>
      <c r="B569" t="str">
        <f>"15173"</f>
        <v>15173</v>
      </c>
      <c r="C569" t="str">
        <f>"1999"</f>
        <v>1999</v>
      </c>
      <c r="D569" t="str">
        <f>"Älä menetä epätoivoasi! : Pieniä sanoja elämänvastuksista nauttiville"</f>
        <v>Älä menetä epätoivoasi! : Pieniä sanoja elämänvastuksista nauttiville</v>
      </c>
      <c r="E569" t="str">
        <f t="shared" si="53"/>
        <v>viro</v>
      </c>
      <c r="F569" t="str">
        <f>"aforismid. tsitaadid; proosa"</f>
        <v>aforismid. tsitaadid; proosa</v>
      </c>
      <c r="G569" t="str">
        <f>"  täiskasvanud"</f>
        <v xml:space="preserve">  täiskasvanud</v>
      </c>
      <c r="H569" t="str">
        <f t="shared" si="52"/>
        <v>1999</v>
      </c>
      <c r="I569" t="str">
        <f>"Ära kaota lootusetust!"</f>
        <v>Ära kaota lootusetust!</v>
      </c>
      <c r="J569" t="str">
        <f>"Jürima, Maire"</f>
        <v>Jürima, Maire</v>
      </c>
      <c r="K569" t="str">
        <f>"Sinisukk, Tallinn"</f>
        <v>Sinisukk, Tallinn</v>
      </c>
      <c r="L569" t="str">
        <f>""</f>
        <v/>
      </c>
      <c r="M569" t="str">
        <f>"9985730992"</f>
        <v>9985730992</v>
      </c>
    </row>
    <row r="570" spans="1:13" ht="15">
      <c r="A570" t="s">
        <v>396</v>
      </c>
      <c r="B570" t="str">
        <f>"4986"</f>
        <v>4986</v>
      </c>
      <c r="C570" t="str">
        <f>"1984"</f>
        <v>1984</v>
      </c>
      <c r="D570" t="str">
        <f>"Minä ja fallesmannin Arvo"</f>
        <v>Minä ja fallesmannin Arvo</v>
      </c>
      <c r="E570" t="str">
        <f t="shared" si="53"/>
        <v>viro</v>
      </c>
      <c r="F570" t="str">
        <f>"romaanid; proosa"</f>
        <v>romaanid; proosa</v>
      </c>
      <c r="G570" t="str">
        <f>"  täiskasvanud"</f>
        <v xml:space="preserve">  täiskasvanud</v>
      </c>
      <c r="H570" t="str">
        <f t="shared" si="52"/>
        <v>1999</v>
      </c>
      <c r="I570" t="str">
        <f>"Selge sott ütles Vallesmani"</f>
        <v>Selge sott ütles Vallesmani</v>
      </c>
      <c r="J570" t="str">
        <f>"Lepik, Harald, Lõhmus, Aivo"</f>
        <v>Lepik, Harald, Lõhmus, Aivo</v>
      </c>
      <c r="K570" t="str">
        <f>"Ilmamaa, Tartu"</f>
        <v>Ilmamaa, Tartu</v>
      </c>
      <c r="L570" t="str">
        <f>""</f>
        <v/>
      </c>
      <c r="M570" t="str">
        <f>"9985-821-89-0"</f>
        <v>9985-821-89-0</v>
      </c>
    </row>
    <row r="571" spans="1:13" ht="15">
      <c r="A571" t="s">
        <v>459</v>
      </c>
      <c r="B571" t="str">
        <f>"4707"</f>
        <v>4707</v>
      </c>
      <c r="C571" t="str">
        <f>"1996"</f>
        <v>1996</v>
      </c>
      <c r="D571" t="str">
        <f>"Keskiajan nainen"</f>
        <v>Keskiajan nainen</v>
      </c>
      <c r="E571" t="str">
        <f t="shared" si="53"/>
        <v>viro</v>
      </c>
      <c r="F571" t="str">
        <f>""</f>
        <v/>
      </c>
      <c r="G571" t="str">
        <f>"  täiskasvanud"</f>
        <v xml:space="preserve">  täiskasvanud</v>
      </c>
      <c r="H571" t="str">
        <f t="shared" si="52"/>
        <v>1999</v>
      </c>
      <c r="I571" t="str">
        <f>"Keskaja naine"</f>
        <v>Keskaja naine</v>
      </c>
      <c r="J571" t="str">
        <f>"Berg, Maimu"</f>
        <v>Berg, Maimu</v>
      </c>
      <c r="K571" t="str">
        <f>"Huma, [Tallinn]"</f>
        <v>Huma, [Tallinn]</v>
      </c>
      <c r="L571" t="str">
        <f>""</f>
        <v/>
      </c>
      <c r="M571" t="str">
        <f>"9985-898-00-1"</f>
        <v>9985-898-00-1</v>
      </c>
    </row>
    <row r="572" spans="1:13" ht="15">
      <c r="A572" t="s">
        <v>569</v>
      </c>
      <c r="B572" t="str">
        <f>"4668"</f>
        <v>4668</v>
      </c>
      <c r="C572" t="str">
        <f>"1937"</f>
        <v>1937</v>
      </c>
      <c r="D572" t="str">
        <f>"Justiina ; Juurakon Hulda"</f>
        <v>Justiina ; Juurakon Hulda</v>
      </c>
      <c r="E572" t="str">
        <f t="shared" si="53"/>
        <v>viro</v>
      </c>
      <c r="F572" t="str">
        <f>"näidendid; draama"</f>
        <v>näidendid; draama</v>
      </c>
      <c r="G572" t="str">
        <f>"  täiskasvanud"</f>
        <v xml:space="preserve">  täiskasvanud</v>
      </c>
      <c r="H572" t="str">
        <f t="shared" si="52"/>
        <v>1999</v>
      </c>
      <c r="I572" t="str">
        <f>"Juuraku Hulda ja teised"</f>
        <v>Juuraku Hulda ja teised</v>
      </c>
      <c r="J572" t="str">
        <f>"Freiberg, Karl"</f>
        <v>Freiberg, Karl</v>
      </c>
      <c r="K572" t="str">
        <f>"K. Laugaste, Tartu"</f>
        <v>K. Laugaste, Tartu</v>
      </c>
      <c r="L572" t="str">
        <f>""</f>
        <v/>
      </c>
      <c r="M572" t="str">
        <f>""</f>
        <v/>
      </c>
    </row>
    <row r="573" spans="1:13" ht="15">
      <c r="A573" t="s">
        <v>18</v>
      </c>
      <c r="B573" t="str">
        <f>"4868"</f>
        <v>4868</v>
      </c>
      <c r="C573" t="str">
        <f>""</f>
        <v/>
      </c>
      <c r="D573" t="str">
        <f>"Runot 1971-1990 ; Maininki ennen aaltoa"</f>
        <v>Runot 1971-1990 ; Maininki ennen aaltoa</v>
      </c>
      <c r="E573" t="str">
        <f t="shared" si="53"/>
        <v>viro</v>
      </c>
      <c r="F573" t="str">
        <f>"luule, lüürika"</f>
        <v>luule, lüürika</v>
      </c>
      <c r="G573" t="str">
        <f>"  täiskasvanud"</f>
        <v xml:space="preserve">  täiskasvanud</v>
      </c>
      <c r="H573" t="str">
        <f aca="true" t="shared" si="54" ref="H573:H588">"2000"</f>
        <v>2000</v>
      </c>
      <c r="I573" t="str">
        <f>"Ütlen siiski"</f>
        <v>Ütlen siiski</v>
      </c>
      <c r="J573" t="str">
        <f>"Kokla, Tiiu"</f>
        <v>Kokla, Tiiu</v>
      </c>
      <c r="K573" t="str">
        <f>"Varrak, Tallinn"</f>
        <v>Varrak, Tallinn</v>
      </c>
      <c r="L573" t="str">
        <f>""</f>
        <v/>
      </c>
      <c r="M573" t="str">
        <f>"9985-3-0407-1"</f>
        <v>9985-3-0407-1</v>
      </c>
    </row>
    <row r="574" spans="1:13" ht="15">
      <c r="A574" t="s">
        <v>69</v>
      </c>
      <c r="B574" t="str">
        <f>"15410"</f>
        <v>15410</v>
      </c>
      <c r="C574" t="str">
        <f>"1997"</f>
        <v>1997</v>
      </c>
      <c r="D574" t="str">
        <f>"Druidien puuhoroskooppi"</f>
        <v>Druidien puuhoroskooppi</v>
      </c>
      <c r="E574" t="str">
        <f t="shared" si="53"/>
        <v>viro</v>
      </c>
      <c r="F574" t="str">
        <f>""</f>
        <v/>
      </c>
      <c r="G574" t="str">
        <f>"  täiskasvanud"</f>
        <v xml:space="preserve">  täiskasvanud</v>
      </c>
      <c r="H574" t="str">
        <f t="shared" si="54"/>
        <v>2000</v>
      </c>
      <c r="I574" t="str">
        <f>"Druiidide puuhoroskoop"</f>
        <v>Druiidide puuhoroskoop</v>
      </c>
      <c r="J574" t="str">
        <f>"Jürima, Maire"</f>
        <v>Jürima, Maire</v>
      </c>
      <c r="K574" t="str">
        <f>"Sinisukk, Tallinn"</f>
        <v>Sinisukk, Tallinn</v>
      </c>
      <c r="L574" t="str">
        <f>""</f>
        <v/>
      </c>
      <c r="M574" t="str">
        <f>"9985-73-115-8"</f>
        <v>9985-73-115-8</v>
      </c>
    </row>
    <row r="575" spans="1:13" ht="15">
      <c r="A575" t="s">
        <v>162</v>
      </c>
      <c r="B575" t="str">
        <f>"4980"</f>
        <v>4980</v>
      </c>
      <c r="C575" t="str">
        <f>"1992"</f>
        <v>1992</v>
      </c>
      <c r="D575" t="str">
        <f>"Saksalainen sikakoira"</f>
        <v>Saksalainen sikakoira</v>
      </c>
      <c r="E575" t="str">
        <f t="shared" si="53"/>
        <v>viro</v>
      </c>
      <c r="F575" t="str">
        <f>"romaanid; proosa"</f>
        <v>romaanid; proosa</v>
      </c>
      <c r="G575" t="str">
        <f>"  täiskasvanud"</f>
        <v xml:space="preserve">  täiskasvanud</v>
      </c>
      <c r="H575" t="str">
        <f t="shared" si="54"/>
        <v>2000</v>
      </c>
      <c r="I575" t="str">
        <f>"Saksa sigakoer"</f>
        <v>Saksa sigakoer</v>
      </c>
      <c r="J575" t="str">
        <f>"Mallene, Endel"</f>
        <v>Mallene, Endel</v>
      </c>
      <c r="K575" t="str">
        <f>"Varrak, Tallinn"</f>
        <v>Varrak, Tallinn</v>
      </c>
      <c r="L575" t="str">
        <f>""</f>
        <v/>
      </c>
      <c r="M575" t="str">
        <f>"9985-3-0321-0"</f>
        <v>9985-3-0321-0</v>
      </c>
    </row>
    <row r="576" spans="1:13" ht="15">
      <c r="A576" t="s">
        <v>217</v>
      </c>
      <c r="B576" t="str">
        <f>"5716"</f>
        <v>5716</v>
      </c>
      <c r="C576" t="str">
        <f>"1999"</f>
        <v>1999</v>
      </c>
      <c r="D576" t="str">
        <f>"Hyvää yötä, herra Hakkarainen"</f>
        <v>Hyvää yötä, herra Hakkarainen</v>
      </c>
      <c r="E576" t="str">
        <f t="shared" si="53"/>
        <v>viro</v>
      </c>
      <c r="F576" t="str">
        <f>"pildiraamatud"</f>
        <v>pildiraamatud</v>
      </c>
      <c r="G576" t="str">
        <f>" lapsed ja noored"</f>
        <v xml:space="preserve"> lapsed ja noored</v>
      </c>
      <c r="H576" t="str">
        <f t="shared" si="54"/>
        <v>2000</v>
      </c>
      <c r="I576" t="str">
        <f>"Head ööd, härra Kuutõbine!"</f>
        <v>Head ööd, härra Kuutõbine!</v>
      </c>
      <c r="J576" t="str">
        <f>"Jürima, Maire"</f>
        <v>Jürima, Maire</v>
      </c>
      <c r="K576" t="str">
        <f>"Sinisukk, Tallinn"</f>
        <v>Sinisukk, Tallinn</v>
      </c>
      <c r="L576" t="str">
        <f>""</f>
        <v/>
      </c>
      <c r="M576" t="str">
        <f>"9985-731-78-6"</f>
        <v>9985-731-78-6</v>
      </c>
    </row>
    <row r="577" spans="1:13" ht="15">
      <c r="A577" t="s">
        <v>217</v>
      </c>
      <c r="B577" t="str">
        <f>"5715"</f>
        <v>5715</v>
      </c>
      <c r="C577" t="str">
        <f>"1981"</f>
        <v>1981</v>
      </c>
      <c r="D577" t="str">
        <f>"Joulupukki"</f>
        <v>Joulupukki</v>
      </c>
      <c r="E577" t="str">
        <f t="shared" si="53"/>
        <v>viro</v>
      </c>
      <c r="F577" t="str">
        <f>"pildiraamatud"</f>
        <v>pildiraamatud</v>
      </c>
      <c r="G577" t="str">
        <f>" lapsed ja noored"</f>
        <v xml:space="preserve"> lapsed ja noored</v>
      </c>
      <c r="H577" t="str">
        <f t="shared" si="54"/>
        <v>2000</v>
      </c>
      <c r="I577" t="str">
        <f>"Jõuluvana"</f>
        <v>Jõuluvana</v>
      </c>
      <c r="J577" t="str">
        <f>"Jürima, Maire"</f>
        <v>Jürima, Maire</v>
      </c>
      <c r="K577" t="str">
        <f>"Sinisukk, Tallinn"</f>
        <v>Sinisukk, Tallinn</v>
      </c>
      <c r="L577" t="str">
        <f>""</f>
        <v/>
      </c>
      <c r="M577" t="str">
        <f>"9985-731-75-1"</f>
        <v>9985-731-75-1</v>
      </c>
    </row>
    <row r="578" spans="1:13" ht="15">
      <c r="A578" t="s">
        <v>219</v>
      </c>
      <c r="B578" t="str">
        <f>"5715"</f>
        <v>5715</v>
      </c>
      <c r="C578" t="str">
        <f>"1981"</f>
        <v>1981</v>
      </c>
      <c r="D578" t="str">
        <f>"Joulupukki"</f>
        <v>Joulupukki</v>
      </c>
      <c r="E578" t="str">
        <f t="shared" si="53"/>
        <v>viro</v>
      </c>
      <c r="F578" t="str">
        <f>"pildiraamatud"</f>
        <v>pildiraamatud</v>
      </c>
      <c r="G578" t="str">
        <f>" lapsed ja noored"</f>
        <v xml:space="preserve"> lapsed ja noored</v>
      </c>
      <c r="H578" t="str">
        <f t="shared" si="54"/>
        <v>2000</v>
      </c>
      <c r="I578" t="str">
        <f>"Jõuluvana"</f>
        <v>Jõuluvana</v>
      </c>
      <c r="J578" t="str">
        <f>"Jürima, Maire"</f>
        <v>Jürima, Maire</v>
      </c>
      <c r="K578" t="str">
        <f>"Sinisukk, Tallinn"</f>
        <v>Sinisukk, Tallinn</v>
      </c>
      <c r="L578" t="str">
        <f>""</f>
        <v/>
      </c>
      <c r="M578" t="str">
        <f>"9985-731-75-1"</f>
        <v>9985-731-75-1</v>
      </c>
    </row>
    <row r="579" spans="1:13" ht="15">
      <c r="A579" t="s">
        <v>261</v>
      </c>
      <c r="B579" t="str">
        <f>"5021"</f>
        <v>5021</v>
      </c>
      <c r="C579" t="str">
        <f>"1999"</f>
        <v>1999</v>
      </c>
      <c r="D579" t="str">
        <f>"Veljien valtiosalaisuus : Suomen ja Viron salainen sotilaallinen yhteistyö Neuvostoliiton hyökkäyksen varalle vuosina 1918-1940"</f>
        <v>Veljien valtiosalaisuus : Suomen ja Viron salainen sotilaallinen yhteistyö Neuvostoliiton hyökkäyksen varalle vuosina 1918-1940</v>
      </c>
      <c r="E579" t="str">
        <f t="shared" si="53"/>
        <v>viro</v>
      </c>
      <c r="F579" t="str">
        <f>""</f>
        <v/>
      </c>
      <c r="G579" t="str">
        <f>"  täiskasvanud"</f>
        <v xml:space="preserve">  täiskasvanud</v>
      </c>
      <c r="H579" t="str">
        <f t="shared" si="54"/>
        <v>2000</v>
      </c>
      <c r="I579" t="str">
        <f>"Vendade riigisaladus"</f>
        <v>Vendade riigisaladus</v>
      </c>
      <c r="J579" t="str">
        <f>"Jürima, Maire"</f>
        <v>Jürima, Maire</v>
      </c>
      <c r="K579" t="str">
        <f>"Sinisukk, Tallinn"</f>
        <v>Sinisukk, Tallinn</v>
      </c>
      <c r="L579" t="str">
        <f>""</f>
        <v/>
      </c>
      <c r="M579" t="str">
        <f>"9985-73-244-8"</f>
        <v>9985-73-244-8</v>
      </c>
    </row>
    <row r="580" spans="1:13" ht="15">
      <c r="A580" t="s">
        <v>295</v>
      </c>
      <c r="B580" t="str">
        <f>"4985"</f>
        <v>4985</v>
      </c>
      <c r="C580" t="str">
        <f>"1976"</f>
        <v>1976</v>
      </c>
      <c r="D580" t="str">
        <f>"Varokaa, voittajat"</f>
        <v>Varokaa, voittajat</v>
      </c>
      <c r="E580" t="str">
        <f t="shared" si="53"/>
        <v>viro</v>
      </c>
      <c r="F580" t="str">
        <f>"romaanid; proosa"</f>
        <v>romaanid; proosa</v>
      </c>
      <c r="G580" t="str">
        <f>"  täiskasvanud"</f>
        <v xml:space="preserve">  täiskasvanud</v>
      </c>
      <c r="H580" t="str">
        <f t="shared" si="54"/>
        <v>2000</v>
      </c>
      <c r="I580" t="str">
        <f>"Häda võitjaile"</f>
        <v>Häda võitjaile</v>
      </c>
      <c r="J580" t="str">
        <f>"Lõhmus, Aivo"</f>
        <v>Lõhmus, Aivo</v>
      </c>
      <c r="K580" t="str">
        <f>"Ilmamaa, Tartu"</f>
        <v>Ilmamaa, Tartu</v>
      </c>
      <c r="L580" t="str">
        <f>""</f>
        <v/>
      </c>
      <c r="M580" t="str">
        <f>"9985-821-67-X"</f>
        <v>9985-821-67-X</v>
      </c>
    </row>
    <row r="581" spans="1:13" ht="15">
      <c r="A581" t="s">
        <v>415</v>
      </c>
      <c r="B581" t="str">
        <f>"5022"</f>
        <v>5022</v>
      </c>
      <c r="C581" t="str">
        <f>"1997"</f>
        <v>1997</v>
      </c>
      <c r="D581" t="str">
        <f>"All American : amerikkalaisuuksien sanakirja"</f>
        <v>All American : amerikkalaisuuksien sanakirja</v>
      </c>
      <c r="E581" t="str">
        <f t="shared" si="53"/>
        <v>viro</v>
      </c>
      <c r="F581" t="str">
        <f>""</f>
        <v/>
      </c>
      <c r="G581" t="str">
        <f>"  täiskasvanud"</f>
        <v xml:space="preserve">  täiskasvanud</v>
      </c>
      <c r="H581" t="str">
        <f t="shared" si="54"/>
        <v>2000</v>
      </c>
      <c r="I581" t="str">
        <f>"All American"</f>
        <v>All American</v>
      </c>
      <c r="J581" t="str">
        <f>"Vaba, Mari"</f>
        <v>Vaba, Mari</v>
      </c>
      <c r="K581" t="str">
        <f>"Valgus, Tallinn"</f>
        <v>Valgus, Tallinn</v>
      </c>
      <c r="L581" t="str">
        <f>""</f>
        <v/>
      </c>
      <c r="M581" t="str">
        <f>"9985-68-078-2"</f>
        <v>9985-68-078-2</v>
      </c>
    </row>
    <row r="582" spans="1:13" ht="15">
      <c r="A582" t="s">
        <v>447</v>
      </c>
      <c r="B582" t="str">
        <f>"15409"</f>
        <v>15409</v>
      </c>
      <c r="C582" t="str">
        <f>"1998"</f>
        <v>1998</v>
      </c>
      <c r="D582" t="str">
        <f>"Suuri horoskooppikirja"</f>
        <v>Suuri horoskooppikirja</v>
      </c>
      <c r="E582" t="str">
        <f t="shared" si="53"/>
        <v>viro</v>
      </c>
      <c r="F582" t="str">
        <f>""</f>
        <v/>
      </c>
      <c r="G582" t="str">
        <f>"  täiskasvanud"</f>
        <v xml:space="preserve">  täiskasvanud</v>
      </c>
      <c r="H582" t="str">
        <f t="shared" si="54"/>
        <v>2000</v>
      </c>
      <c r="I582" t="str">
        <f>"Suur horoskoobiraamat"</f>
        <v>Suur horoskoobiraamat</v>
      </c>
      <c r="J582" t="str">
        <f>"Jürima, Maire"</f>
        <v>Jürima, Maire</v>
      </c>
      <c r="K582" t="str">
        <f>"Sinisukk, Tallinn"</f>
        <v>Sinisukk, Tallinn</v>
      </c>
      <c r="L582" t="str">
        <f>""</f>
        <v/>
      </c>
      <c r="M582" t="str">
        <f>"9985-73-148-4"</f>
        <v>9985-73-148-4</v>
      </c>
    </row>
    <row r="583" spans="1:13" ht="15">
      <c r="A583" t="s">
        <v>486</v>
      </c>
      <c r="B583" t="str">
        <f>"7963"</f>
        <v>7963</v>
      </c>
      <c r="C583" t="str">
        <f>"1992"</f>
        <v>1992</v>
      </c>
      <c r="D583" t="str">
        <f>"Suomen lasten satuaarteet"</f>
        <v>Suomen lasten satuaarteet</v>
      </c>
      <c r="E583" t="str">
        <f t="shared" si="53"/>
        <v>viro</v>
      </c>
      <c r="F583" t="str">
        <f>"folkloor"</f>
        <v>folkloor</v>
      </c>
      <c r="G583" t="str">
        <f>" lapsed ja noored"</f>
        <v xml:space="preserve"> lapsed ja noored</v>
      </c>
      <c r="H583" t="str">
        <f t="shared" si="54"/>
        <v>2000</v>
      </c>
      <c r="I583" t="str">
        <f>"Meie laste muinasjutud"</f>
        <v>Meie laste muinasjutud</v>
      </c>
      <c r="J583" t="str">
        <f>"Vingissar, Marika"</f>
        <v>Vingissar, Marika</v>
      </c>
      <c r="K583" t="str">
        <f>"Suur Eesti Raamatuklubi, Tallinn"</f>
        <v>Suur Eesti Raamatuklubi, Tallinn</v>
      </c>
      <c r="L583" t="str">
        <f>""</f>
        <v/>
      </c>
      <c r="M583" t="str">
        <f>"9985-60-969-7"</f>
        <v>9985-60-969-7</v>
      </c>
    </row>
    <row r="584" spans="1:13" ht="15">
      <c r="A584" t="s">
        <v>499</v>
      </c>
      <c r="B584" t="str">
        <f>"5058"</f>
        <v>5058</v>
      </c>
      <c r="C584" t="str">
        <f>"1998"</f>
        <v>1998</v>
      </c>
      <c r="D584" t="str">
        <f>"Kalpeat tytöt"</f>
        <v>Kalpeat tytöt</v>
      </c>
      <c r="E584" t="str">
        <f t="shared" si="53"/>
        <v>viro</v>
      </c>
      <c r="F584" t="str">
        <f>"romaanid; proosa"</f>
        <v>romaanid; proosa</v>
      </c>
      <c r="G584" t="str">
        <f>"  täiskasvanud"</f>
        <v xml:space="preserve">  täiskasvanud</v>
      </c>
      <c r="H584" t="str">
        <f t="shared" si="54"/>
        <v>2000</v>
      </c>
      <c r="I584" t="str">
        <f>"Kahvatud tüdrukud"</f>
        <v>Kahvatud tüdrukud</v>
      </c>
      <c r="J584" t="str">
        <f>"Reimus, Katrin"</f>
        <v>Reimus, Katrin</v>
      </c>
      <c r="K584" t="str">
        <f>"Eesti Klassikakirjastuse AS, Tallinn"</f>
        <v>Eesti Klassikakirjastuse AS, Tallinn</v>
      </c>
      <c r="L584" t="str">
        <f>""</f>
        <v/>
      </c>
      <c r="M584" t="str">
        <f>"9985-862-43-0"</f>
        <v>9985-862-43-0</v>
      </c>
    </row>
    <row r="585" spans="1:13" ht="15">
      <c r="A585" t="s">
        <v>524</v>
      </c>
      <c r="B585" t="str">
        <f>"5020"</f>
        <v>5020</v>
      </c>
      <c r="C585" t="str">
        <f>"1997"</f>
        <v>1997</v>
      </c>
      <c r="D585" t="str">
        <f>"Sulo, Hella ja Vappuli : muistelmia vuosilta 1911-1945"</f>
        <v>Sulo, Hella ja Vappuli : muistelmia vuosilta 1911-1945</v>
      </c>
      <c r="E585" t="str">
        <f t="shared" si="53"/>
        <v>viro</v>
      </c>
      <c r="F585" t="str">
        <f>""</f>
        <v/>
      </c>
      <c r="G585" t="str">
        <f>"  täiskasvanud"</f>
        <v xml:space="preserve">  täiskasvanud</v>
      </c>
      <c r="H585" t="str">
        <f t="shared" si="54"/>
        <v>2000</v>
      </c>
      <c r="I585" t="str">
        <f>"Sulo, Hella ja Vappuli"</f>
        <v>Sulo, Hella ja Vappuli</v>
      </c>
      <c r="J585" t="str">
        <f>"Jürima, Maire"</f>
        <v>Jürima, Maire</v>
      </c>
      <c r="K585" t="str">
        <f>"Sinisukk, Tallinn"</f>
        <v>Sinisukk, Tallinn</v>
      </c>
      <c r="L585" t="str">
        <f>""</f>
        <v/>
      </c>
      <c r="M585" t="str">
        <f>"9985-73-233-2"</f>
        <v>9985-73-233-2</v>
      </c>
    </row>
    <row r="586" spans="1:13" ht="15">
      <c r="A586" t="s">
        <v>553</v>
      </c>
      <c r="B586" t="str">
        <f>"5070"</f>
        <v>5070</v>
      </c>
      <c r="C586" t="str">
        <f>"2000"</f>
        <v>2000</v>
      </c>
      <c r="D586" t="str">
        <f>"Ujon piimän paluu"</f>
        <v>Ujon piimän paluu</v>
      </c>
      <c r="E586" t="str">
        <f t="shared" si="53"/>
        <v>viro</v>
      </c>
      <c r="F586" t="str">
        <f>"folkloor"</f>
        <v>folkloor</v>
      </c>
      <c r="G586" t="str">
        <f>" lapsed ja noored"</f>
        <v xml:space="preserve"> lapsed ja noored</v>
      </c>
      <c r="H586" t="str">
        <f t="shared" si="54"/>
        <v>2000</v>
      </c>
      <c r="I586" t="str">
        <f>"Nelja uksega rosin"</f>
        <v>Nelja uksega rosin</v>
      </c>
      <c r="J586" t="str">
        <f>"Ende, Üllar"</f>
        <v>Ende, Üllar</v>
      </c>
      <c r="K586" t="str">
        <f>"Sinisukk, Tallinn"</f>
        <v>Sinisukk, Tallinn</v>
      </c>
      <c r="L586" t="str">
        <f>""</f>
        <v/>
      </c>
      <c r="M586" t="str">
        <f>"9985-73-270-7"</f>
        <v>9985-73-270-7</v>
      </c>
    </row>
    <row r="587" spans="1:13" ht="15">
      <c r="A587" t="s">
        <v>554</v>
      </c>
      <c r="B587" t="str">
        <f>"5070"</f>
        <v>5070</v>
      </c>
      <c r="C587" t="str">
        <f>"2000"</f>
        <v>2000</v>
      </c>
      <c r="D587" t="str">
        <f>"Ujon piimän paluu"</f>
        <v>Ujon piimän paluu</v>
      </c>
      <c r="E587" t="str">
        <f t="shared" si="53"/>
        <v>viro</v>
      </c>
      <c r="F587" t="str">
        <f>"folkloor"</f>
        <v>folkloor</v>
      </c>
      <c r="G587" t="str">
        <f>" lapsed ja noored"</f>
        <v xml:space="preserve"> lapsed ja noored</v>
      </c>
      <c r="H587" t="str">
        <f t="shared" si="54"/>
        <v>2000</v>
      </c>
      <c r="I587" t="str">
        <f>"Nelja uksega rosin"</f>
        <v>Nelja uksega rosin</v>
      </c>
      <c r="J587" t="str">
        <f>"Ende, Üllar"</f>
        <v>Ende, Üllar</v>
      </c>
      <c r="K587" t="str">
        <f>"Sinisukk, Tallinn"</f>
        <v>Sinisukk, Tallinn</v>
      </c>
      <c r="L587" t="str">
        <f>""</f>
        <v/>
      </c>
      <c r="M587" t="str">
        <f>"9985-73-270-7"</f>
        <v>9985-73-270-7</v>
      </c>
    </row>
    <row r="588" spans="1:13" ht="15">
      <c r="A588" t="s">
        <v>563</v>
      </c>
      <c r="B588" t="str">
        <f>"5005"</f>
        <v>5005</v>
      </c>
      <c r="C588" t="str">
        <f>"1958"</f>
        <v>1958</v>
      </c>
      <c r="D588" t="str">
        <f>"Feliks onnellinen"</f>
        <v>Feliks onnellinen</v>
      </c>
      <c r="E588" t="str">
        <f t="shared" si="53"/>
        <v>viro</v>
      </c>
      <c r="F588" t="str">
        <f>"romaanid; proosa"</f>
        <v>romaanid; proosa</v>
      </c>
      <c r="G588" t="str">
        <f>"  täiskasvanud"</f>
        <v xml:space="preserve">  täiskasvanud</v>
      </c>
      <c r="H588" t="str">
        <f t="shared" si="54"/>
        <v>2000</v>
      </c>
      <c r="I588" t="str">
        <f>"Feliks Õnnelik"</f>
        <v>Feliks Õnnelik</v>
      </c>
      <c r="J588" t="str">
        <f>"Kokla, Tiiu"</f>
        <v>Kokla, Tiiu</v>
      </c>
      <c r="K588" t="str">
        <f>"Perioodika, Tallinn"</f>
        <v>Perioodika, Tallinn</v>
      </c>
      <c r="L588" t="str">
        <f>""</f>
        <v/>
      </c>
      <c r="M588" t="str">
        <f>"9985-868-78-1"</f>
        <v>9985-868-78-1</v>
      </c>
    </row>
    <row r="589" spans="2:13" ht="15">
      <c r="B589" t="str">
        <f>"16048"</f>
        <v>16048</v>
      </c>
      <c r="C589" t="str">
        <f>"1972"</f>
        <v>1972</v>
      </c>
      <c r="D589" t="str">
        <f>"Ihmisen fysiologia ja anatomia"</f>
        <v>Ihmisen fysiologia ja anatomia</v>
      </c>
      <c r="E589" t="str">
        <f t="shared" si="53"/>
        <v>viro</v>
      </c>
      <c r="F589" t="str">
        <f>""</f>
        <v/>
      </c>
      <c r="G589" t="str">
        <f>"  täiskasvanud"</f>
        <v xml:space="preserve">  täiskasvanud</v>
      </c>
      <c r="H589" t="str">
        <f aca="true" t="shared" si="55" ref="H589:H606">"2001"</f>
        <v>2001</v>
      </c>
      <c r="I589" t="str">
        <f>"Inimese füsioloogia ja anatoomia"</f>
        <v>Inimese füsioloogia ja anatoomia</v>
      </c>
      <c r="J589" t="str">
        <f>"Kõiv, Heli"</f>
        <v>Kõiv, Heli</v>
      </c>
      <c r="K589" t="str">
        <f>"Medicina, Tallinn"</f>
        <v>Medicina, Tallinn</v>
      </c>
      <c r="L589" t="str">
        <f>""</f>
        <v/>
      </c>
      <c r="M589" t="str">
        <f>""</f>
        <v/>
      </c>
    </row>
    <row r="590" spans="2:13" ht="15">
      <c r="B590" t="str">
        <f>"16093"</f>
        <v>16093</v>
      </c>
      <c r="C590" t="str">
        <f>"1994"</f>
        <v>1994</v>
      </c>
      <c r="D590" t="str">
        <f>"SETI : vieraan älyn etsintä"</f>
        <v>SETI : vieraan älyn etsintä</v>
      </c>
      <c r="E590" t="str">
        <f t="shared" si="53"/>
        <v>viro</v>
      </c>
      <c r="F590" t="str">
        <f>""</f>
        <v/>
      </c>
      <c r="G590" t="str">
        <f>"  täiskasvanud"</f>
        <v xml:space="preserve">  täiskasvanud</v>
      </c>
      <c r="H590" t="str">
        <f t="shared" si="55"/>
        <v>2001</v>
      </c>
      <c r="I590" t="str">
        <f>"SETI : maa-välise elu otsingud"</f>
        <v>SETI : maa-välise elu otsingud</v>
      </c>
      <c r="J590" t="str">
        <f>"Nurmik, Kai"</f>
        <v>Nurmik, Kai</v>
      </c>
      <c r="K590" t="str">
        <f>"Valgus, Tallinn"</f>
        <v>Valgus, Tallinn</v>
      </c>
      <c r="L590" t="str">
        <f>""</f>
        <v/>
      </c>
      <c r="M590" t="str">
        <f>"9985-68-096-0"</f>
        <v>9985-68-096-0</v>
      </c>
    </row>
    <row r="591" spans="1:13" ht="15">
      <c r="A591" t="s">
        <v>34</v>
      </c>
      <c r="B591" t="str">
        <f>"5645"</f>
        <v>5645</v>
      </c>
      <c r="C591" t="str">
        <f>""</f>
        <v/>
      </c>
      <c r="D591" t="str">
        <f>""</f>
        <v/>
      </c>
      <c r="E591" t="str">
        <f t="shared" si="53"/>
        <v>viro</v>
      </c>
      <c r="F591" t="str">
        <f>"esseet; proosa"</f>
        <v>esseet; proosa</v>
      </c>
      <c r="G591" t="str">
        <f>"  täiskasvanud"</f>
        <v xml:space="preserve">  täiskasvanud</v>
      </c>
      <c r="H591" t="str">
        <f t="shared" si="55"/>
        <v>2001</v>
      </c>
      <c r="I591" t="str">
        <f>"Salamets"</f>
        <v>Salamets</v>
      </c>
      <c r="J591" t="str">
        <f>"Sang, Joel"</f>
        <v>Sang, Joel</v>
      </c>
      <c r="K591" t="str">
        <f>"Vagabund, Tallinn"</f>
        <v>Vagabund, Tallinn</v>
      </c>
      <c r="L591" t="str">
        <f>""</f>
        <v/>
      </c>
      <c r="M591" t="str">
        <f>"9985-835-51-4"</f>
        <v>9985-835-51-4</v>
      </c>
    </row>
    <row r="592" spans="1:13" ht="15">
      <c r="A592" t="s">
        <v>54</v>
      </c>
      <c r="B592" t="str">
        <f>"7187"</f>
        <v>7187</v>
      </c>
      <c r="C592" t="str">
        <f>"1938"</f>
        <v>1938</v>
      </c>
      <c r="D592" t="str">
        <f>"Taivalvaaran näyttelijä"</f>
        <v>Taivalvaaran näyttelijä</v>
      </c>
      <c r="E592" t="str">
        <f t="shared" si="53"/>
        <v>viro</v>
      </c>
      <c r="F592" t="str">
        <f>"romaanid; proosa"</f>
        <v>romaanid; proosa</v>
      </c>
      <c r="G592" t="str">
        <f>"  täiskasvanud"</f>
        <v xml:space="preserve">  täiskasvanud</v>
      </c>
      <c r="H592" t="str">
        <f t="shared" si="55"/>
        <v>2001</v>
      </c>
      <c r="I592" t="str">
        <f>"Taivalvaara näitleja"</f>
        <v>Taivalvaara näitleja</v>
      </c>
      <c r="J592" t="str">
        <f>"Mallene, Endel"</f>
        <v>Mallene, Endel</v>
      </c>
      <c r="K592" t="str">
        <f>"Loomingu raamatukogu, Tallinn"</f>
        <v>Loomingu raamatukogu, Tallinn</v>
      </c>
      <c r="L592" t="str">
        <f>""</f>
        <v/>
      </c>
      <c r="M592" t="str">
        <f>"9985868897"</f>
        <v>9985868897</v>
      </c>
    </row>
    <row r="593" spans="1:13" ht="15">
      <c r="A593" t="s">
        <v>85</v>
      </c>
      <c r="B593" t="str">
        <f>"7075"</f>
        <v>7075</v>
      </c>
      <c r="C593" t="str">
        <f>"1990"</f>
        <v>1990</v>
      </c>
      <c r="D593" t="str">
        <f>"Lastenkirja"</f>
        <v>Lastenkirja</v>
      </c>
      <c r="E593" t="str">
        <f t="shared" si="53"/>
        <v>viro</v>
      </c>
      <c r="F593" t="str">
        <f>"proosa"</f>
        <v>proosa</v>
      </c>
      <c r="G593" t="str">
        <f>" lapsed ja noored"</f>
        <v xml:space="preserve"> lapsed ja noored</v>
      </c>
      <c r="H593" t="str">
        <f t="shared" si="55"/>
        <v>2001</v>
      </c>
      <c r="I593" t="str">
        <f>"Lasteraamat"</f>
        <v>Lasteraamat</v>
      </c>
      <c r="J593" t="str">
        <f>"Arder, Ott"</f>
        <v>Arder, Ott</v>
      </c>
      <c r="K593" t="str">
        <f>"Tänapäev, Tallinn"</f>
        <v>Tänapäev, Tallinn</v>
      </c>
      <c r="L593" t="str">
        <f>""</f>
        <v/>
      </c>
      <c r="M593" t="str">
        <f>"9985-62-015-1"</f>
        <v>9985-62-015-1</v>
      </c>
    </row>
    <row r="594" spans="1:13" ht="15">
      <c r="A594" t="s">
        <v>117</v>
      </c>
      <c r="B594" t="str">
        <f>"7590"</f>
        <v>7590</v>
      </c>
      <c r="C594" t="str">
        <f>"1968"</f>
        <v>1968</v>
      </c>
      <c r="D594" t="str">
        <f>"Bildhuggarens dotter"</f>
        <v>Bildhuggarens dotter</v>
      </c>
      <c r="E594" t="str">
        <f t="shared" si="53"/>
        <v>viro</v>
      </c>
      <c r="F594" t="str">
        <f>"proosa"</f>
        <v>proosa</v>
      </c>
      <c r="G594" t="str">
        <f>"  täiskasvanud"</f>
        <v xml:space="preserve">  täiskasvanud</v>
      </c>
      <c r="H594" t="str">
        <f t="shared" si="55"/>
        <v>2001</v>
      </c>
      <c r="I594" t="str">
        <f>"Kujuri tütar"</f>
        <v>Kujuri tütar</v>
      </c>
      <c r="J594" t="str">
        <f>"Beekman, Vladimir"</f>
        <v>Beekman, Vladimir</v>
      </c>
      <c r="K594" t="str">
        <f>"Avita, Tallinn"</f>
        <v>Avita, Tallinn</v>
      </c>
      <c r="L594" t="str">
        <f>""</f>
        <v/>
      </c>
      <c r="M594" t="str">
        <f>"9985-2-0445-X"</f>
        <v>9985-2-0445-X</v>
      </c>
    </row>
    <row r="595" spans="1:13" ht="15">
      <c r="A595" t="s">
        <v>117</v>
      </c>
      <c r="B595" t="str">
        <f>"10950"</f>
        <v>10950</v>
      </c>
      <c r="C595" t="str">
        <f>"2000"</f>
        <v>2000</v>
      </c>
      <c r="D595" t="str">
        <f>"Muumipeikon luontoretki"</f>
        <v>Muumipeikon luontoretki</v>
      </c>
      <c r="E595" t="str">
        <f t="shared" si="53"/>
        <v>viro</v>
      </c>
      <c r="F595" t="str">
        <f>""</f>
        <v/>
      </c>
      <c r="G595" t="str">
        <f>" lapsed ja noored"</f>
        <v xml:space="preserve"> lapsed ja noored</v>
      </c>
      <c r="H595" t="str">
        <f t="shared" si="55"/>
        <v>2001</v>
      </c>
      <c r="I595" t="str">
        <f>"Muumitrolli"</f>
        <v>Muumitrolli</v>
      </c>
      <c r="J595" t="str">
        <f>"Rütel, Eve"</f>
        <v>Rütel, Eve</v>
      </c>
      <c r="K595" t="str">
        <f>"Sinisukk, Tallinn"</f>
        <v>Sinisukk, Tallinn</v>
      </c>
      <c r="L595" t="str">
        <f>""</f>
        <v/>
      </c>
      <c r="M595" t="str">
        <f>"9985-73-451-3"</f>
        <v>9985-73-451-3</v>
      </c>
    </row>
    <row r="596" spans="1:13" ht="15">
      <c r="A596" t="s">
        <v>146</v>
      </c>
      <c r="B596" t="str">
        <f>"7044"</f>
        <v>7044</v>
      </c>
      <c r="C596" t="str">
        <f>""</f>
        <v/>
      </c>
      <c r="D596" t="str">
        <f>"Runoja"</f>
        <v>Runoja</v>
      </c>
      <c r="E596" t="str">
        <f t="shared" si="53"/>
        <v>viro</v>
      </c>
      <c r="F596" t="str">
        <f>"luule, lüürika"</f>
        <v>luule, lüürika</v>
      </c>
      <c r="G596" t="str">
        <f>"  täiskasvanud"</f>
        <v xml:space="preserve">  täiskasvanud</v>
      </c>
      <c r="H596" t="str">
        <f t="shared" si="55"/>
        <v>2001</v>
      </c>
      <c r="I596" t="str">
        <f>"Luuletusi = Runoja"</f>
        <v>Luuletusi = Runoja</v>
      </c>
      <c r="J596" t="str">
        <f>"Viiding, Linda"</f>
        <v>Viiding, Linda</v>
      </c>
      <c r="K596" t="str">
        <f>"Eesti Keele Sihtasutus, Tallinn"</f>
        <v>Eesti Keele Sihtasutus, Tallinn</v>
      </c>
      <c r="L596" t="str">
        <f>""</f>
        <v/>
      </c>
      <c r="M596" t="str">
        <f>"9985-811-13-5"</f>
        <v>9985-811-13-5</v>
      </c>
    </row>
    <row r="597" spans="1:13" ht="15">
      <c r="A597" t="s">
        <v>150</v>
      </c>
      <c r="B597" t="str">
        <f>"5717"</f>
        <v>5717</v>
      </c>
      <c r="C597" t="str">
        <f>"1995"</f>
        <v>1995</v>
      </c>
      <c r="D597" t="str">
        <f>"Tuomas Tossavaisen hämärä menneisyys"</f>
        <v>Tuomas Tossavaisen hämärä menneisyys</v>
      </c>
      <c r="E597" t="str">
        <f t="shared" si="53"/>
        <v>viro</v>
      </c>
      <c r="F597" t="str">
        <f>"romaanid; proosa"</f>
        <v>romaanid; proosa</v>
      </c>
      <c r="G597" t="str">
        <f>" lapsed ja noored"</f>
        <v xml:space="preserve"> lapsed ja noored</v>
      </c>
      <c r="H597" t="str">
        <f t="shared" si="55"/>
        <v>2001</v>
      </c>
      <c r="I597" t="str">
        <f>"Tuomas Tosmani must minevik"</f>
        <v>Tuomas Tosmani must minevik</v>
      </c>
      <c r="J597" t="str">
        <f>"Parbo, Vilma"</f>
        <v>Parbo, Vilma</v>
      </c>
      <c r="K597" t="str">
        <f>"Valgus, Tallinn"</f>
        <v>Valgus, Tallinn</v>
      </c>
      <c r="L597" t="str">
        <f>""</f>
        <v/>
      </c>
      <c r="M597" t="str">
        <f>"9985-680-94-4"</f>
        <v>9985-680-94-4</v>
      </c>
    </row>
    <row r="598" spans="1:13" ht="15">
      <c r="A598" t="s">
        <v>293</v>
      </c>
      <c r="B598" t="str">
        <f>"10950"</f>
        <v>10950</v>
      </c>
      <c r="C598" t="str">
        <f>"2000"</f>
        <v>2000</v>
      </c>
      <c r="D598" t="str">
        <f>"Muumipeikon luontoretki"</f>
        <v>Muumipeikon luontoretki</v>
      </c>
      <c r="E598" t="str">
        <f t="shared" si="53"/>
        <v>viro</v>
      </c>
      <c r="F598" t="str">
        <f>""</f>
        <v/>
      </c>
      <c r="G598" t="str">
        <f>" lapsed ja noored"</f>
        <v xml:space="preserve"> lapsed ja noored</v>
      </c>
      <c r="H598" t="str">
        <f t="shared" si="55"/>
        <v>2001</v>
      </c>
      <c r="I598" t="str">
        <f>"Muumitrolli"</f>
        <v>Muumitrolli</v>
      </c>
      <c r="J598" t="str">
        <f>"Rütel, Eve"</f>
        <v>Rütel, Eve</v>
      </c>
      <c r="K598" t="str">
        <f>"Sinisukk, Tallinn"</f>
        <v>Sinisukk, Tallinn</v>
      </c>
      <c r="L598" t="str">
        <f>""</f>
        <v/>
      </c>
      <c r="M598" t="str">
        <f>"9985-73-451-3"</f>
        <v>9985-73-451-3</v>
      </c>
    </row>
    <row r="599" spans="1:13" ht="15">
      <c r="A599" t="s">
        <v>343</v>
      </c>
      <c r="B599" t="str">
        <f>"16096"</f>
        <v>16096</v>
      </c>
      <c r="C599" t="str">
        <f>"1999"</f>
        <v>1999</v>
      </c>
      <c r="D599" t="str">
        <f>"Polaris : nuorten tähtitieto"</f>
        <v>Polaris : nuorten tähtitieto</v>
      </c>
      <c r="E599" t="str">
        <f t="shared" si="53"/>
        <v>viro</v>
      </c>
      <c r="F599" t="str">
        <f>""</f>
        <v/>
      </c>
      <c r="G599" t="str">
        <f>"  täiskasvanud"</f>
        <v xml:space="preserve">  täiskasvanud</v>
      </c>
      <c r="H599" t="str">
        <f t="shared" si="55"/>
        <v>2001</v>
      </c>
      <c r="I599" t="str">
        <f>"Põhjanael"</f>
        <v>Põhjanael</v>
      </c>
      <c r="J599" t="str">
        <f>"Kalv, Peep"</f>
        <v>Kalv, Peep</v>
      </c>
      <c r="K599" t="str">
        <f>"Valgus, Tallinn"</f>
        <v>Valgus, Tallinn</v>
      </c>
      <c r="L599" t="str">
        <f>""</f>
        <v/>
      </c>
      <c r="M599" t="str">
        <f>"9985-68-084-7"</f>
        <v>9985-68-084-7</v>
      </c>
    </row>
    <row r="600" spans="1:13" ht="15">
      <c r="A600" t="s">
        <v>381</v>
      </c>
      <c r="B600" t="str">
        <f>"7970"</f>
        <v>7970</v>
      </c>
      <c r="C600" t="str">
        <f>"1998"</f>
        <v>1998</v>
      </c>
      <c r="D600" t="str">
        <f>"Meganaurut : 2000 koululaisvitsiä"</f>
        <v>Meganaurut : 2000 koululaisvitsiä</v>
      </c>
      <c r="E600" t="str">
        <f t="shared" si="53"/>
        <v>viro</v>
      </c>
      <c r="F600" t="str">
        <f>"folkloor"</f>
        <v>folkloor</v>
      </c>
      <c r="G600" t="str">
        <f>"  täiskasvanud"</f>
        <v xml:space="preserve">  täiskasvanud</v>
      </c>
      <c r="H600" t="str">
        <f t="shared" si="55"/>
        <v>2001</v>
      </c>
      <c r="I600" t="str">
        <f>"Meganaer"</f>
        <v>Meganaer</v>
      </c>
      <c r="J600" t="str">
        <f>"Ende, Üllar"</f>
        <v>Ende, Üllar</v>
      </c>
      <c r="K600" t="str">
        <f>"Sinisukk, Tallinn"</f>
        <v>Sinisukk, Tallinn</v>
      </c>
      <c r="L600" t="str">
        <f>""</f>
        <v/>
      </c>
      <c r="M600" t="str">
        <f>"9985-73-296-0"</f>
        <v>9985-73-296-0</v>
      </c>
    </row>
    <row r="601" spans="1:13" ht="15">
      <c r="A601" t="s">
        <v>430</v>
      </c>
      <c r="B601" t="str">
        <f>"17081"</f>
        <v>17081</v>
      </c>
      <c r="C601" t="str">
        <f>"2000"</f>
        <v>2000</v>
      </c>
      <c r="D601" t="str">
        <f>"Elimistö puhtaaksi paastolla ja ruokavaliolla"</f>
        <v>Elimistö puhtaaksi paastolla ja ruokavaliolla</v>
      </c>
      <c r="E601" t="str">
        <f t="shared" si="53"/>
        <v>viro</v>
      </c>
      <c r="F601" t="str">
        <f>""</f>
        <v/>
      </c>
      <c r="G601" t="str">
        <f>"  täiskasvanud"</f>
        <v xml:space="preserve">  täiskasvanud</v>
      </c>
      <c r="H601" t="str">
        <f t="shared" si="55"/>
        <v>2001</v>
      </c>
      <c r="I601" t="str">
        <f>"Organismi puhastamine paastu ja toiduvalikuga"</f>
        <v>Organismi puhastamine paastu ja toiduvalikuga</v>
      </c>
      <c r="J601" t="str">
        <f>"Jürima, Maire"</f>
        <v>Jürima, Maire</v>
      </c>
      <c r="K601" t="str">
        <f>"Sinisukk, Tallinn"</f>
        <v>Sinisukk, Tallinn</v>
      </c>
      <c r="L601" t="str">
        <f>""</f>
        <v/>
      </c>
      <c r="M601" t="str">
        <f>"9985-75-327-4"</f>
        <v>9985-75-327-4</v>
      </c>
    </row>
    <row r="602" spans="1:13" ht="15">
      <c r="A602" t="s">
        <v>459</v>
      </c>
      <c r="B602" t="str">
        <f>"7078"</f>
        <v>7078</v>
      </c>
      <c r="C602" t="str">
        <f>"1993"</f>
        <v>1993</v>
      </c>
      <c r="D602" t="str">
        <f>"Antiikin nainen"</f>
        <v>Antiikin nainen</v>
      </c>
      <c r="E602" t="str">
        <f t="shared" si="53"/>
        <v>viro</v>
      </c>
      <c r="F602" t="str">
        <f>""</f>
        <v/>
      </c>
      <c r="G602" t="str">
        <f>"  täiskasvanud"</f>
        <v xml:space="preserve">  täiskasvanud</v>
      </c>
      <c r="H602" t="str">
        <f t="shared" si="55"/>
        <v>2001</v>
      </c>
      <c r="I602" t="str">
        <f>"Antiikaja naine"</f>
        <v>Antiikaja naine</v>
      </c>
      <c r="J602" t="str">
        <f>"Berg, Maimu"</f>
        <v>Berg, Maimu</v>
      </c>
      <c r="K602" t="str">
        <f>"Huma, [Tallinn]"</f>
        <v>Huma, [Tallinn]</v>
      </c>
      <c r="L602" t="str">
        <f>""</f>
        <v/>
      </c>
      <c r="M602" t="str">
        <f>"9985-898-65-6"</f>
        <v>9985-898-65-6</v>
      </c>
    </row>
    <row r="603" spans="1:13" ht="15">
      <c r="A603" t="s">
        <v>471</v>
      </c>
      <c r="B603" t="str">
        <f>"7064"</f>
        <v>7064</v>
      </c>
      <c r="C603" t="str">
        <f>"1998"</f>
        <v>1998</v>
      </c>
      <c r="D603" t="str">
        <f>"Yhdessä isän kanssa"</f>
        <v>Yhdessä isän kanssa</v>
      </c>
      <c r="E603" t="str">
        <f t="shared" si="53"/>
        <v>viro</v>
      </c>
      <c r="F603" t="str">
        <f>""</f>
        <v/>
      </c>
      <c r="G603" t="str">
        <f>"  täiskasvanud"</f>
        <v xml:space="preserve">  täiskasvanud</v>
      </c>
      <c r="H603" t="str">
        <f t="shared" si="55"/>
        <v>2001</v>
      </c>
      <c r="I603" t="str">
        <f>"Koos isaga"</f>
        <v>Koos isaga</v>
      </c>
      <c r="J603" t="str">
        <f>"Lagerspetz, Hille"</f>
        <v>Lagerspetz, Hille</v>
      </c>
      <c r="K603" t="str">
        <f>"Eesti Raamat, Tallinn"</f>
        <v>Eesti Raamat, Tallinn</v>
      </c>
      <c r="L603" t="str">
        <f>""</f>
        <v/>
      </c>
      <c r="M603" t="str">
        <f>"9985-65-349-1"</f>
        <v>9985-65-349-1</v>
      </c>
    </row>
    <row r="604" spans="1:13" ht="15">
      <c r="A604" t="s">
        <v>536</v>
      </c>
      <c r="B604" t="str">
        <f>"14963"</f>
        <v>14963</v>
      </c>
      <c r="C604" t="str">
        <f>"1997"</f>
        <v>1997</v>
      </c>
      <c r="D604" t="str">
        <f>"Sirkuksen sydän"</f>
        <v>Sirkuksen sydän</v>
      </c>
      <c r="E604" t="str">
        <f t="shared" si="53"/>
        <v>viro</v>
      </c>
      <c r="F604" t="str">
        <f>"romaanid; proosa"</f>
        <v>romaanid; proosa</v>
      </c>
      <c r="G604" t="str">
        <f>"  täiskasvanud"</f>
        <v xml:space="preserve">  täiskasvanud</v>
      </c>
      <c r="H604" t="str">
        <f t="shared" si="55"/>
        <v>2001</v>
      </c>
      <c r="I604" t="str">
        <f>"Tsirkuse süda"</f>
        <v>Tsirkuse süda</v>
      </c>
      <c r="J604" t="str">
        <f>"Pais, Monika"</f>
        <v>Pais, Monika</v>
      </c>
      <c r="K604" t="str">
        <f>"Valgus, Tallinn"</f>
        <v>Valgus, Tallinn</v>
      </c>
      <c r="L604" t="str">
        <f>""</f>
        <v/>
      </c>
      <c r="M604" t="str">
        <f>"9985680766"</f>
        <v>9985680766</v>
      </c>
    </row>
    <row r="605" spans="1:13" ht="15">
      <c r="A605" t="s">
        <v>555</v>
      </c>
      <c r="B605" t="str">
        <f>"10788"</f>
        <v>10788</v>
      </c>
      <c r="C605" t="str">
        <f>"1998"</f>
        <v>1998</v>
      </c>
      <c r="D605" t="str">
        <f>"Suuri unikirja"</f>
        <v>Suuri unikirja</v>
      </c>
      <c r="E605" t="str">
        <f t="shared" si="53"/>
        <v>viro</v>
      </c>
      <c r="F605" t="str">
        <f>""</f>
        <v/>
      </c>
      <c r="G605" t="str">
        <f>"  täiskasvanud"</f>
        <v xml:space="preserve">  täiskasvanud</v>
      </c>
      <c r="H605" t="str">
        <f t="shared" si="55"/>
        <v>2001</v>
      </c>
      <c r="I605" t="str">
        <f>"Suur uneraamat"</f>
        <v>Suur uneraamat</v>
      </c>
      <c r="J605" t="str">
        <f>"Lõhmus, Aivo"</f>
        <v>Lõhmus, Aivo</v>
      </c>
      <c r="K605" t="str">
        <f>"Tänapäev, Tallinn"</f>
        <v>Tänapäev, Tallinn</v>
      </c>
      <c r="L605" t="str">
        <f>""</f>
        <v/>
      </c>
      <c r="M605" t="str">
        <f>"9985932927"</f>
        <v>9985932927</v>
      </c>
    </row>
    <row r="606" spans="1:13" ht="15">
      <c r="A606" t="s">
        <v>568</v>
      </c>
      <c r="B606" t="str">
        <f>"7716"</f>
        <v>7716</v>
      </c>
      <c r="C606" t="str">
        <f>""</f>
        <v/>
      </c>
      <c r="D606" t="str">
        <f>""</f>
        <v/>
      </c>
      <c r="E606" t="str">
        <f t="shared" si="53"/>
        <v>viro</v>
      </c>
      <c r="F606" t="str">
        <f>""</f>
        <v/>
      </c>
      <c r="G606" t="str">
        <f>"  täiskasvanud"</f>
        <v xml:space="preserve">  täiskasvanud</v>
      </c>
      <c r="H606" t="str">
        <f t="shared" si="55"/>
        <v>2001</v>
      </c>
      <c r="I606" t="str">
        <f>"Filosoofia, loogika ja normid"</f>
        <v>Filosoofia, loogika ja normid</v>
      </c>
      <c r="J606" t="str">
        <f>"Hallap, Tiiu, Kangilaski, Jaan, Luure, Andres, Mölder, Bruno, Palge, Veiko, Soovik, Ene-Reet, Tamme, Tõnu, Unt, Anto, Uustalu, Tarmo, Veismann, Ann"</f>
        <v>Hallap, Tiiu, Kangilaski, Jaan, Luure, Andres, Mölder, Bruno, Palge, Veiko, Soovik, Ene-Reet, Tamme, Tõnu, Unt, Anto, Uustalu, Tarmo, Veismann, Ann</v>
      </c>
      <c r="K606" t="str">
        <f>"Vagabund, Tallinn"</f>
        <v>Vagabund, Tallinn</v>
      </c>
      <c r="L606" t="str">
        <f>""</f>
        <v/>
      </c>
      <c r="M606" t="str">
        <f>"9985-835-53-0"</f>
        <v>9985-835-53-0</v>
      </c>
    </row>
    <row r="607" spans="2:13" ht="15">
      <c r="B607" t="str">
        <f>"7051"</f>
        <v>7051</v>
      </c>
      <c r="C607" t="str">
        <f>"2000"</f>
        <v>2000</v>
      </c>
      <c r="D607" t="str">
        <f>"Miesnäkökulmia tasa-arvoon"</f>
        <v>Miesnäkökulmia tasa-arvoon</v>
      </c>
      <c r="E607" t="str">
        <f t="shared" si="53"/>
        <v>viro</v>
      </c>
      <c r="F607" t="str">
        <f>""</f>
        <v/>
      </c>
      <c r="G607" t="str">
        <f>"  täiskasvanud"</f>
        <v xml:space="preserve">  täiskasvanud</v>
      </c>
      <c r="H607" t="str">
        <f aca="true" t="shared" si="56" ref="H607:H624">"2002"</f>
        <v>2002</v>
      </c>
      <c r="I607" t="str">
        <f>"Mehe ettekujutus võrdõiguslikkusest"</f>
        <v>Mehe ettekujutus võrdõiguslikkusest</v>
      </c>
      <c r="J607" t="str">
        <f>"Uljas, Jüri"</f>
        <v>Uljas, Jüri</v>
      </c>
      <c r="K607" t="str">
        <f>"MR PILLER, Tallinn"</f>
        <v>MR PILLER, Tallinn</v>
      </c>
      <c r="L607" t="str">
        <f>""</f>
        <v/>
      </c>
      <c r="M607" t="str">
        <f>"9985-78-435-9"</f>
        <v>9985-78-435-9</v>
      </c>
    </row>
    <row r="608" spans="1:13" ht="15">
      <c r="A608" t="s">
        <v>17</v>
      </c>
      <c r="B608" t="str">
        <f>"7252"</f>
        <v>7252</v>
      </c>
      <c r="C608" t="str">
        <f>"2000"</f>
        <v>2000</v>
      </c>
      <c r="D608" t="str">
        <f>"Mina tolv politiska år : fragment, minnesbilder, drömmar"</f>
        <v>Mina tolv politiska år : fragment, minnesbilder, drömmar</v>
      </c>
      <c r="E608" t="str">
        <f t="shared" si="53"/>
        <v>viro</v>
      </c>
      <c r="F608" t="str">
        <f>""</f>
        <v/>
      </c>
      <c r="G608" t="str">
        <f>"  täiskasvanud"</f>
        <v xml:space="preserve">  täiskasvanud</v>
      </c>
      <c r="H608" t="str">
        <f t="shared" si="56"/>
        <v>2002</v>
      </c>
      <c r="I608" t="str">
        <f>"Kaksteist aastat poliitikas"</f>
        <v>Kaksteist aastat poliitikas</v>
      </c>
      <c r="J608" t="str">
        <f>"Tuulik, Mari"</f>
        <v>Tuulik, Mari</v>
      </c>
      <c r="K608" t="str">
        <f>"Perioodika, Tallinn"</f>
        <v>Perioodika, Tallinn</v>
      </c>
      <c r="L608" t="str">
        <f>""</f>
        <v/>
      </c>
      <c r="M608" t="str">
        <f>"9985-853-13-X"</f>
        <v>9985-853-13-X</v>
      </c>
    </row>
    <row r="609" spans="1:13" ht="15">
      <c r="A609" t="s">
        <v>36</v>
      </c>
      <c r="B609" t="str">
        <f>"7057"</f>
        <v>7057</v>
      </c>
      <c r="C609" t="str">
        <f>""</f>
        <v/>
      </c>
      <c r="D609" t="str">
        <f>""</f>
        <v/>
      </c>
      <c r="E609" t="str">
        <f t="shared" si="53"/>
        <v>viro</v>
      </c>
      <c r="F609" t="str">
        <f>"lühiproosa, proosa"</f>
        <v>lühiproosa, proosa</v>
      </c>
      <c r="G609" t="str">
        <f>"  täiskasvanud"</f>
        <v xml:space="preserve">  täiskasvanud</v>
      </c>
      <c r="H609" t="str">
        <f t="shared" si="56"/>
        <v>2002</v>
      </c>
      <c r="I609" t="str">
        <f>"Salapärased kirikukellad"</f>
        <v>Salapärased kirikukellad</v>
      </c>
      <c r="J609" t="str">
        <f>"Lõhmus, Aivo"</f>
        <v>Lõhmus, Aivo</v>
      </c>
      <c r="K609" t="str">
        <f>"Tiritamm, Tallinn"</f>
        <v>Tiritamm, Tallinn</v>
      </c>
      <c r="L609" t="str">
        <f>""</f>
        <v/>
      </c>
      <c r="M609" t="str">
        <f>"9985-55-131-1"</f>
        <v>9985-55-131-1</v>
      </c>
    </row>
    <row r="610" spans="1:13" ht="15">
      <c r="A610" t="s">
        <v>104</v>
      </c>
      <c r="B610" t="str">
        <f>"7145"</f>
        <v>7145</v>
      </c>
      <c r="C610" t="str">
        <f>"1990"</f>
        <v>1990</v>
      </c>
      <c r="D610" t="str">
        <f>"Akvaariorakkautta"</f>
        <v>Akvaariorakkautta</v>
      </c>
      <c r="E610" t="str">
        <f t="shared" si="53"/>
        <v>viro</v>
      </c>
      <c r="F610" t="str">
        <f>"romaanid; proosa"</f>
        <v>romaanid; proosa</v>
      </c>
      <c r="G610" t="str">
        <f>"  täiskasvanud"</f>
        <v xml:space="preserve">  täiskasvanud</v>
      </c>
      <c r="H610" t="str">
        <f t="shared" si="56"/>
        <v>2002</v>
      </c>
      <c r="I610" t="str">
        <f>"Akvaariumiarmastus"</f>
        <v>Akvaariumiarmastus</v>
      </c>
      <c r="J610" t="str">
        <f>"Ende, Üllar"</f>
        <v>Ende, Üllar</v>
      </c>
      <c r="K610" t="str">
        <f>"Sinisukk, Tallinn"</f>
        <v>Sinisukk, Tallinn</v>
      </c>
      <c r="L610" t="str">
        <f>""</f>
        <v/>
      </c>
      <c r="M610" t="str">
        <f>"9985-73-459-9"</f>
        <v>9985-73-459-9</v>
      </c>
    </row>
    <row r="611" spans="1:13" ht="15">
      <c r="A611" t="s">
        <v>117</v>
      </c>
      <c r="B611" t="str">
        <f>"7073"</f>
        <v>7073</v>
      </c>
      <c r="C611" t="str">
        <f>"1982"</f>
        <v>1982</v>
      </c>
      <c r="D611" t="str">
        <f>"Den ärliga bedragaren"</f>
        <v>Den ärliga bedragaren</v>
      </c>
      <c r="E611" t="str">
        <f t="shared" si="53"/>
        <v>viro</v>
      </c>
      <c r="F611" t="str">
        <f>"romaanid; proosa"</f>
        <v>romaanid; proosa</v>
      </c>
      <c r="G611" t="str">
        <f>"  täiskasvanud"</f>
        <v xml:space="preserve">  täiskasvanud</v>
      </c>
      <c r="H611" t="str">
        <f t="shared" si="56"/>
        <v>2002</v>
      </c>
      <c r="I611" t="str">
        <f>"Aus pettur"</f>
        <v>Aus pettur</v>
      </c>
      <c r="J611" t="str">
        <f>"Jesmin, Mari"</f>
        <v>Jesmin, Mari</v>
      </c>
      <c r="K611" t="str">
        <f>"Eesti Raamat, Tallinn"</f>
        <v>Eesti Raamat, Tallinn</v>
      </c>
      <c r="L611" t="str">
        <f>""</f>
        <v/>
      </c>
      <c r="M611" t="str">
        <f>"9985-65-317-3"</f>
        <v>9985-65-317-3</v>
      </c>
    </row>
    <row r="612" spans="1:13" ht="15">
      <c r="A612" t="s">
        <v>131</v>
      </c>
      <c r="B612" t="str">
        <f>"7173"</f>
        <v>7173</v>
      </c>
      <c r="C612" t="str">
        <f>"1999"</f>
        <v>1999</v>
      </c>
      <c r="D612" t="str">
        <f>"Talvisodan pikkujättiläinen"</f>
        <v>Talvisodan pikkujättiläinen</v>
      </c>
      <c r="E612" t="str">
        <f t="shared" si="53"/>
        <v>viro</v>
      </c>
      <c r="F612" t="str">
        <f>""</f>
        <v/>
      </c>
      <c r="G612" t="str">
        <f>"  täiskasvanud"</f>
        <v xml:space="preserve">  täiskasvanud</v>
      </c>
      <c r="H612" t="str">
        <f t="shared" si="56"/>
        <v>2002</v>
      </c>
      <c r="I612" t="str">
        <f>"Talvesõda"</f>
        <v>Talvesõda</v>
      </c>
      <c r="J612" t="str">
        <f>"Mallene, Endel"</f>
        <v>Mallene, Endel</v>
      </c>
      <c r="K612" t="str">
        <f>"Varrak, Tallinn"</f>
        <v>Varrak, Tallinn</v>
      </c>
      <c r="L612" t="str">
        <f>""</f>
        <v/>
      </c>
      <c r="M612" t="str">
        <f>"9985-3-0501-9"</f>
        <v>9985-3-0501-9</v>
      </c>
    </row>
    <row r="613" spans="1:13" ht="15">
      <c r="A613" t="s">
        <v>137</v>
      </c>
      <c r="B613" t="str">
        <f>"7100"</f>
        <v>7100</v>
      </c>
      <c r="C613" t="str">
        <f>"2002"</f>
        <v>2002</v>
      </c>
      <c r="D613" t="str">
        <f>"Missä junat kääntyvät"</f>
        <v>Missä junat kääntyvät</v>
      </c>
      <c r="E613" t="str">
        <f t="shared" si="53"/>
        <v>viro</v>
      </c>
      <c r="F613" t="str">
        <f>"lühiproosa; tieteiskirjallisuus; proosa"</f>
        <v>lühiproosa; tieteiskirjallisuus; proosa</v>
      </c>
      <c r="G613" t="str">
        <f>"  täiskasvanud"</f>
        <v xml:space="preserve">  täiskasvanud</v>
      </c>
      <c r="H613" t="str">
        <f t="shared" si="56"/>
        <v>2002</v>
      </c>
      <c r="I613" t="str">
        <f>"Taevast kukkunud loomaaed"</f>
        <v>Taevast kukkunud loomaaed</v>
      </c>
      <c r="J613" t="str">
        <f>"Nikkarev, Arvi"</f>
        <v>Nikkarev, Arvi</v>
      </c>
      <c r="K613" t="str">
        <f>"Skarabeus, Saue"</f>
        <v>Skarabeus, Saue</v>
      </c>
      <c r="L613" t="str">
        <f>""</f>
        <v/>
      </c>
      <c r="M613" t="str">
        <f>"9985-9346-1-X"</f>
        <v>9985-9346-1-X</v>
      </c>
    </row>
    <row r="614" spans="1:13" ht="15">
      <c r="A614" t="s">
        <v>143</v>
      </c>
      <c r="B614" t="str">
        <f>"7053"</f>
        <v>7053</v>
      </c>
      <c r="C614" t="str">
        <f>""</f>
        <v/>
      </c>
      <c r="D614" t="str">
        <f>"Alussa oli sana : runoja"</f>
        <v>Alussa oli sana : runoja</v>
      </c>
      <c r="E614" t="str">
        <f t="shared" si="53"/>
        <v>viro</v>
      </c>
      <c r="F614" t="str">
        <f>"luule, lüürika"</f>
        <v>luule, lüürika</v>
      </c>
      <c r="G614" t="str">
        <f>"  täiskasvanud"</f>
        <v xml:space="preserve">  täiskasvanud</v>
      </c>
      <c r="H614" t="str">
        <f t="shared" si="56"/>
        <v>2002</v>
      </c>
      <c r="I614" t="str">
        <f>"Alguses oli sõna"</f>
        <v>Alguses oli sõna</v>
      </c>
      <c r="J614" t="str">
        <f>"Annist, August, Neithal, Reet, Oras, Ants, Under, Marie"</f>
        <v>Annist, August, Neithal, Reet, Oras, Ants, Under, Marie</v>
      </c>
      <c r="K614" t="str">
        <f>"Eesti Keele Sihtasutus, Tallinn"</f>
        <v>Eesti Keele Sihtasutus, Tallinn</v>
      </c>
      <c r="L614" t="str">
        <f>""</f>
        <v/>
      </c>
      <c r="M614" t="str">
        <f>"9985-9332-5-7"</f>
        <v>9985-9332-5-7</v>
      </c>
    </row>
    <row r="615" spans="1:13" ht="15">
      <c r="A615" t="s">
        <v>185</v>
      </c>
      <c r="B615" t="str">
        <f>"7128"</f>
        <v>7128</v>
      </c>
      <c r="C615" t="str">
        <f>"1866"</f>
        <v>1866</v>
      </c>
      <c r="D615" t="str">
        <f>"Olviretki Schleusingenissä"</f>
        <v>Olviretki Schleusingenissä</v>
      </c>
      <c r="E615" t="str">
        <f t="shared" si="53"/>
        <v>viro</v>
      </c>
      <c r="F615" t="str">
        <f>"näidendid; draama"</f>
        <v>näidendid; draama</v>
      </c>
      <c r="G615" t="str">
        <f>"  täiskasvanud"</f>
        <v xml:space="preserve">  täiskasvanud</v>
      </c>
      <c r="H615" t="str">
        <f t="shared" si="56"/>
        <v>2002</v>
      </c>
      <c r="I615" t="str">
        <f>"Õlleretk Schleusingenis"</f>
        <v>Õlleretk Schleusingenis</v>
      </c>
      <c r="J615" t="str">
        <f>"Mallene, Endel"</f>
        <v>Mallene, Endel</v>
      </c>
      <c r="K615" t="str">
        <f>"Huma, [Tallinn]"</f>
        <v>Huma, [Tallinn]</v>
      </c>
      <c r="L615" t="str">
        <f>""</f>
        <v/>
      </c>
      <c r="M615" t="str">
        <f>"9985-898-81-8"</f>
        <v>9985-898-81-8</v>
      </c>
    </row>
    <row r="616" spans="1:13" ht="15">
      <c r="A616" t="s">
        <v>192</v>
      </c>
      <c r="B616" t="str">
        <f>"14960"</f>
        <v>14960</v>
      </c>
      <c r="C616" t="str">
        <f>"2001"</f>
        <v>2001</v>
      </c>
      <c r="D616" t="str">
        <f>"Venäjän idea"</f>
        <v>Venäjän idea</v>
      </c>
      <c r="E616" t="str">
        <f t="shared" si="53"/>
        <v>viro</v>
      </c>
      <c r="F616" t="str">
        <f>""</f>
        <v/>
      </c>
      <c r="G616" t="str">
        <f>"  täiskasvanud"</f>
        <v xml:space="preserve">  täiskasvanud</v>
      </c>
      <c r="H616" t="str">
        <f t="shared" si="56"/>
        <v>2002</v>
      </c>
      <c r="I616" t="str">
        <f>"Vene idee"</f>
        <v>Vene idee</v>
      </c>
      <c r="J616" t="str">
        <f>"Anupõld, Elle, Anupõld, Enn"</f>
        <v>Anupõld, Elle, Anupõld, Enn</v>
      </c>
      <c r="K616" t="str">
        <f>"Olion, Tallinn"</f>
        <v>Olion, Tallinn</v>
      </c>
      <c r="L616" t="str">
        <f>""</f>
        <v/>
      </c>
      <c r="M616" t="str">
        <f>"9985663039"</f>
        <v>9985663039</v>
      </c>
    </row>
    <row r="617" spans="1:13" ht="15">
      <c r="A617" t="s">
        <v>241</v>
      </c>
      <c r="B617" t="str">
        <f>"7573"</f>
        <v>7573</v>
      </c>
      <c r="C617" t="str">
        <f>"1910"</f>
        <v>1910</v>
      </c>
      <c r="D617" t="str">
        <f>"Tulitikkuja lainaamassa"</f>
        <v>Tulitikkuja lainaamassa</v>
      </c>
      <c r="E617" t="str">
        <f t="shared" si="53"/>
        <v>viro</v>
      </c>
      <c r="F617" t="str">
        <f>"romaanid; proosa"</f>
        <v>romaanid; proosa</v>
      </c>
      <c r="G617" t="str">
        <f>"  täiskasvanud"</f>
        <v xml:space="preserve">  täiskasvanud</v>
      </c>
      <c r="H617" t="str">
        <f t="shared" si="56"/>
        <v>2002</v>
      </c>
      <c r="I617" t="str">
        <f>"Tuletikke laenamas"</f>
        <v>Tuletikke laenamas</v>
      </c>
      <c r="J617" t="str">
        <f>"Lepik, Harald"</f>
        <v>Lepik, Harald</v>
      </c>
      <c r="K617" t="str">
        <f>"Byronet, Tallinn"</f>
        <v>Byronet, Tallinn</v>
      </c>
      <c r="L617" t="str">
        <f>""</f>
        <v/>
      </c>
      <c r="M617" t="str">
        <f>"99943-813-9-3"</f>
        <v>99943-813-9-3</v>
      </c>
    </row>
    <row r="618" spans="1:13" ht="15">
      <c r="A618" t="s">
        <v>261</v>
      </c>
      <c r="B618" t="str">
        <f>"7173"</f>
        <v>7173</v>
      </c>
      <c r="C618" t="str">
        <f>"1999"</f>
        <v>1999</v>
      </c>
      <c r="D618" t="str">
        <f>"Talvisodan pikkujättiläinen"</f>
        <v>Talvisodan pikkujättiläinen</v>
      </c>
      <c r="E618" t="str">
        <f t="shared" si="53"/>
        <v>viro</v>
      </c>
      <c r="F618" t="str">
        <f>""</f>
        <v/>
      </c>
      <c r="G618" t="str">
        <f>"  täiskasvanud"</f>
        <v xml:space="preserve">  täiskasvanud</v>
      </c>
      <c r="H618" t="str">
        <f t="shared" si="56"/>
        <v>2002</v>
      </c>
      <c r="I618" t="str">
        <f>"Talvesõda"</f>
        <v>Talvesõda</v>
      </c>
      <c r="J618" t="str">
        <f>"Mallene, Endel"</f>
        <v>Mallene, Endel</v>
      </c>
      <c r="K618" t="str">
        <f>"Varrak, Tallinn"</f>
        <v>Varrak, Tallinn</v>
      </c>
      <c r="L618" t="str">
        <f>""</f>
        <v/>
      </c>
      <c r="M618" t="str">
        <f>"9985-3-0501-9"</f>
        <v>9985-3-0501-9</v>
      </c>
    </row>
    <row r="619" spans="1:13" ht="15">
      <c r="A619" t="s">
        <v>263</v>
      </c>
      <c r="B619" t="str">
        <f>"7054"</f>
        <v>7054</v>
      </c>
      <c r="C619" t="str">
        <f>"1999"</f>
        <v>1999</v>
      </c>
      <c r="D619" t="str">
        <f>"Tahdon"</f>
        <v>Tahdon</v>
      </c>
      <c r="E619" t="str">
        <f t="shared" si="53"/>
        <v>viro</v>
      </c>
      <c r="F619" t="str">
        <f>"romaanid; proosa"</f>
        <v>romaanid; proosa</v>
      </c>
      <c r="G619" t="str">
        <f>" lapsed ja noored"</f>
        <v xml:space="preserve"> lapsed ja noored</v>
      </c>
      <c r="H619" t="str">
        <f t="shared" si="56"/>
        <v>2002</v>
      </c>
      <c r="I619" t="str">
        <f>"Tahan"</f>
        <v>Tahan</v>
      </c>
      <c r="J619" t="str">
        <f>"Ende, Üllar"</f>
        <v>Ende, Üllar</v>
      </c>
      <c r="K619" t="str">
        <f>"Sinisukk, Tallinn"</f>
        <v>Sinisukk, Tallinn</v>
      </c>
      <c r="L619" t="str">
        <f>""</f>
        <v/>
      </c>
      <c r="M619" t="str">
        <f>"9985-73-458-0"</f>
        <v>9985-73-458-0</v>
      </c>
    </row>
    <row r="620" spans="1:13" ht="15">
      <c r="A620" t="s">
        <v>336</v>
      </c>
      <c r="B620" t="str">
        <f>"7129"</f>
        <v>7129</v>
      </c>
      <c r="C620" t="str">
        <f>""</f>
        <v/>
      </c>
      <c r="D620" t="str">
        <f>""</f>
        <v/>
      </c>
      <c r="E620" t="str">
        <f t="shared" si="53"/>
        <v>viro</v>
      </c>
      <c r="F620" t="str">
        <f>"luule, lüürika"</f>
        <v>luule, lüürika</v>
      </c>
      <c r="G620" t="str">
        <f>"  täiskasvanud"</f>
        <v xml:space="preserve">  täiskasvanud</v>
      </c>
      <c r="H620" t="str">
        <f t="shared" si="56"/>
        <v>2002</v>
      </c>
      <c r="I620" t="str">
        <f>"Taeva ja maa märgid"</f>
        <v>Taeva ja maa märgid</v>
      </c>
      <c r="J620" t="str">
        <f>"Ehin, Andres, Kokla, Tiiu, Kross, Jaan, Kurg, Kalle, Niit, Ellen, Seppel, Ly, Vaarandi, Debora"</f>
        <v>Ehin, Andres, Kokla, Tiiu, Kross, Jaan, Kurg, Kalle, Niit, Ellen, Seppel, Ly, Vaarandi, Debora</v>
      </c>
      <c r="K620" t="str">
        <f>"Huma, [Tallinn]"</f>
        <v>Huma, [Tallinn]</v>
      </c>
      <c r="L620" t="str">
        <f>""</f>
        <v/>
      </c>
      <c r="M620" t="str">
        <f>"9985-898-79-6"</f>
        <v>9985-898-79-6</v>
      </c>
    </row>
    <row r="621" spans="1:13" ht="15">
      <c r="A621" t="s">
        <v>360</v>
      </c>
      <c r="B621" t="str">
        <f>"14961"</f>
        <v>14961</v>
      </c>
      <c r="C621" t="str">
        <f>"1899"</f>
        <v>1899</v>
      </c>
      <c r="D621" t="str">
        <f>"Tukkijoella"</f>
        <v>Tukkijoella</v>
      </c>
      <c r="E621" t="str">
        <f t="shared" si="53"/>
        <v>viro</v>
      </c>
      <c r="F621" t="str">
        <f>"näidendid; draama"</f>
        <v>näidendid; draama</v>
      </c>
      <c r="G621" t="str">
        <f>"  täiskasvanud"</f>
        <v xml:space="preserve">  täiskasvanud</v>
      </c>
      <c r="H621" t="str">
        <f t="shared" si="56"/>
        <v>2002</v>
      </c>
      <c r="I621" t="str">
        <f>"Parvepoisid"</f>
        <v>Parvepoisid</v>
      </c>
      <c r="J621" t="str">
        <f>"Villemson, Hannes, Volkonski, Peeter"</f>
        <v>Villemson, Hannes, Volkonski, Peeter</v>
      </c>
      <c r="K621" t="str">
        <f>"R. Visnapuu, [Kose (Harjumaa)]"</f>
        <v>R. Visnapuu, [Kose (Harjumaa)]</v>
      </c>
      <c r="L621" t="str">
        <f>""</f>
        <v/>
      </c>
      <c r="M621" t="str">
        <f>"9985786181"</f>
        <v>9985786181</v>
      </c>
    </row>
    <row r="622" spans="1:13" ht="15">
      <c r="A622" t="s">
        <v>366</v>
      </c>
      <c r="B622" t="str">
        <f>"7714"</f>
        <v>7714</v>
      </c>
      <c r="C622" t="str">
        <f>"1999"</f>
        <v>1999</v>
      </c>
      <c r="D622" t="str">
        <f>"Kalevi Korpin seikkailut"</f>
        <v>Kalevi Korpin seikkailut</v>
      </c>
      <c r="E622" t="str">
        <f t="shared" si="53"/>
        <v>viro</v>
      </c>
      <c r="F622" t="str">
        <f>"proosa"</f>
        <v>proosa</v>
      </c>
      <c r="G622" t="str">
        <f>" lapsed ja noored"</f>
        <v xml:space="preserve"> lapsed ja noored</v>
      </c>
      <c r="H622" t="str">
        <f t="shared" si="56"/>
        <v>2002</v>
      </c>
      <c r="I622" t="str">
        <f>"Kaaren Kalevi seiklused"</f>
        <v>Kaaren Kalevi seiklused</v>
      </c>
      <c r="J622" t="str">
        <f>"Karu, Anne, Kenkmaa, Ene, Laurisson, Reet"</f>
        <v>Karu, Anne, Kenkmaa, Ene, Laurisson, Reet</v>
      </c>
      <c r="K622" t="str">
        <f>"Tormikiri, Tallinn"</f>
        <v>Tormikiri, Tallinn</v>
      </c>
      <c r="L622" t="str">
        <f>""</f>
        <v/>
      </c>
      <c r="M622" t="str">
        <f>" 9985884906"</f>
        <v xml:space="preserve"> 9985884906</v>
      </c>
    </row>
    <row r="623" spans="1:13" ht="15">
      <c r="A623" t="s">
        <v>486</v>
      </c>
      <c r="B623" t="str">
        <f>"15198"</f>
        <v>15198</v>
      </c>
      <c r="C623" t="str">
        <f>"1997"</f>
        <v>1997</v>
      </c>
      <c r="D623" t="str">
        <f>"Suomen lasten eläinsadut"</f>
        <v>Suomen lasten eläinsadut</v>
      </c>
      <c r="E623" t="str">
        <f aca="true" t="shared" si="57" ref="E623:E628">"viro"</f>
        <v>viro</v>
      </c>
      <c r="F623" t="str">
        <f>"folkloor"</f>
        <v>folkloor</v>
      </c>
      <c r="G623" t="str">
        <f>" lapsed ja noored"</f>
        <v xml:space="preserve"> lapsed ja noored</v>
      </c>
      <c r="H623" t="str">
        <f t="shared" si="56"/>
        <v>2002</v>
      </c>
      <c r="I623" t="str">
        <f>"Loomamuinasjutud"</f>
        <v>Loomamuinasjutud</v>
      </c>
      <c r="J623" t="str">
        <f>"Variksaar, Viivi"</f>
        <v>Variksaar, Viivi</v>
      </c>
      <c r="K623" t="str">
        <f>"Suur Eesti Raamatuklubi, Tallinn"</f>
        <v>Suur Eesti Raamatuklubi, Tallinn</v>
      </c>
      <c r="L623" t="str">
        <f>""</f>
        <v/>
      </c>
      <c r="M623" t="str">
        <f>"9985787633"</f>
        <v>9985787633</v>
      </c>
    </row>
    <row r="624" spans="1:13" ht="15">
      <c r="A624" t="s">
        <v>506</v>
      </c>
      <c r="B624" t="str">
        <f>"7163"</f>
        <v>7163</v>
      </c>
      <c r="C624" t="str">
        <f>"1999"</f>
        <v>1999</v>
      </c>
      <c r="D624" t="str">
        <f>"Minun sukuni tarina"</f>
        <v>Minun sukuni tarina</v>
      </c>
      <c r="E624" t="str">
        <f t="shared" si="57"/>
        <v>viro</v>
      </c>
      <c r="F624" t="str">
        <f>"romaanid; proosa"</f>
        <v>romaanid; proosa</v>
      </c>
      <c r="G624" t="str">
        <f>"  täiskasvanud"</f>
        <v xml:space="preserve">  täiskasvanud</v>
      </c>
      <c r="H624" t="str">
        <f t="shared" si="56"/>
        <v>2002</v>
      </c>
      <c r="I624" t="str">
        <f>"Minu suguvõsa lugu"</f>
        <v>Minu suguvõsa lugu</v>
      </c>
      <c r="J624" t="str">
        <f>"Kaus, Jan"</f>
        <v>Kaus, Jan</v>
      </c>
      <c r="K624" t="str">
        <f>"Tänapäev, Tallinn"</f>
        <v>Tänapäev, Tallinn</v>
      </c>
      <c r="L624" t="str">
        <f>""</f>
        <v/>
      </c>
      <c r="M624" t="str">
        <f>"9985-62-098-4"</f>
        <v>9985-62-098-4</v>
      </c>
    </row>
    <row r="625" spans="2:13" ht="15">
      <c r="B625" t="str">
        <f>"7248"</f>
        <v>7248</v>
      </c>
      <c r="C625" t="str">
        <f>""</f>
        <v/>
      </c>
      <c r="D625" t="str">
        <f>""</f>
        <v/>
      </c>
      <c r="E625" t="str">
        <f t="shared" si="57"/>
        <v>viro</v>
      </c>
      <c r="F625" t="str">
        <f>"luule, lüürika"</f>
        <v>luule, lüürika</v>
      </c>
      <c r="G625" t="str">
        <f>"  täiskasvanud"</f>
        <v xml:space="preserve">  täiskasvanud</v>
      </c>
      <c r="H625" t="str">
        <f aca="true" t="shared" si="58" ref="H625:H644">"2003"</f>
        <v>2003</v>
      </c>
      <c r="I625" t="str">
        <f>"Vaikuste varjus"</f>
        <v>Vaikuste varjus</v>
      </c>
      <c r="J625" t="str">
        <f>"Kokla, Tiiu, Park, Eeva, Sirkel, Mati"</f>
        <v>Kokla, Tiiu, Park, Eeva, Sirkel, Mati</v>
      </c>
      <c r="K625" t="str">
        <f>"Eesti Raamat, Tallinn"</f>
        <v>Eesti Raamat, Tallinn</v>
      </c>
      <c r="L625" t="str">
        <f>""</f>
        <v/>
      </c>
      <c r="M625" t="str">
        <f>"9985-65-404-8"</f>
        <v>9985-65-404-8</v>
      </c>
    </row>
    <row r="626" spans="2:13" ht="15">
      <c r="B626" t="str">
        <f>"9397"</f>
        <v>9397</v>
      </c>
      <c r="C626" t="str">
        <f>"1996"</f>
        <v>1996</v>
      </c>
      <c r="D626" t="str">
        <f>"Avainsanat : 10 askelta feministiseen tutkimukseen"</f>
        <v>Avainsanat : 10 askelta feministiseen tutkimukseen</v>
      </c>
      <c r="E626" t="str">
        <f t="shared" si="57"/>
        <v>viro</v>
      </c>
      <c r="F626" t="str">
        <f>""</f>
        <v/>
      </c>
      <c r="G626" t="str">
        <f>"  täiskasvanud"</f>
        <v xml:space="preserve">  täiskasvanud</v>
      </c>
      <c r="H626" t="str">
        <f t="shared" si="58"/>
        <v>2003</v>
      </c>
      <c r="I626" t="str">
        <f>"Võtmesõnad"</f>
        <v>Võtmesõnad</v>
      </c>
      <c r="J626" t="str">
        <f>"Annuk, Eve"</f>
        <v>Annuk, Eve</v>
      </c>
      <c r="K626" t="str">
        <f>"Eesti Keele Sihtasutus, Tallinn"</f>
        <v>Eesti Keele Sihtasutus, Tallinn</v>
      </c>
      <c r="L626" t="str">
        <f>""</f>
        <v/>
      </c>
      <c r="M626" t="str">
        <f>"9985-79-042-1"</f>
        <v>9985-79-042-1</v>
      </c>
    </row>
    <row r="627" spans="1:13" ht="15">
      <c r="A627" t="s">
        <v>75</v>
      </c>
      <c r="B627" t="str">
        <f>"7293"</f>
        <v>7293</v>
      </c>
      <c r="C627" t="str">
        <f>"1996"</f>
        <v>1996</v>
      </c>
      <c r="D627" t="str">
        <f>"Himeros"</f>
        <v>Himeros</v>
      </c>
      <c r="E627" t="str">
        <f t="shared" si="57"/>
        <v>viro</v>
      </c>
      <c r="F627" t="str">
        <f>""</f>
        <v/>
      </c>
      <c r="G627" t="str">
        <f>"  täiskasvanud"</f>
        <v xml:space="preserve">  täiskasvanud</v>
      </c>
      <c r="H627" t="str">
        <f t="shared" si="58"/>
        <v>2003</v>
      </c>
      <c r="I627" t="str">
        <f>"Himeros"</f>
        <v>Himeros</v>
      </c>
      <c r="J627" t="str">
        <f>"Kurg, Kalle"</f>
        <v>Kurg, Kalle</v>
      </c>
      <c r="K627" t="str">
        <f>"Valgus, Tallinn"</f>
        <v>Valgus, Tallinn</v>
      </c>
      <c r="L627" t="str">
        <f>""</f>
        <v/>
      </c>
      <c r="M627" t="str">
        <f>"9985-68-136-3"</f>
        <v>9985-68-136-3</v>
      </c>
    </row>
    <row r="628" spans="1:13" ht="15">
      <c r="A628" t="s">
        <v>86</v>
      </c>
      <c r="B628" t="str">
        <f>"7369"</f>
        <v>7369</v>
      </c>
      <c r="C628" t="str">
        <f>"2002"</f>
        <v>2002</v>
      </c>
      <c r="D628" t="str">
        <f>"Viinasodasta kynttiläiltoihin : Tallinnan ravintolakulttuurin historia 1918-1940"</f>
        <v>Viinasodasta kynttiläiltoihin : Tallinnan ravintolakulttuurin historia 1918-1940</v>
      </c>
      <c r="E628" t="str">
        <f t="shared" si="57"/>
        <v>viro</v>
      </c>
      <c r="F628" t="str">
        <f>""</f>
        <v/>
      </c>
      <c r="G628" t="str">
        <f>"  täiskasvanud"</f>
        <v xml:space="preserve">  täiskasvanud</v>
      </c>
      <c r="H628" t="str">
        <f t="shared" si="58"/>
        <v>2003</v>
      </c>
      <c r="I628" t="str">
        <f>"Kuld Lõwi ja Kultase ajal"</f>
        <v>Kuld Lõwi ja Kultase ajal</v>
      </c>
      <c r="J628" t="str">
        <f>"Saluri, Piret"</f>
        <v>Saluri, Piret</v>
      </c>
      <c r="K628" t="str">
        <f>"Varrak, Tallinn"</f>
        <v>Varrak, Tallinn</v>
      </c>
      <c r="L628" t="str">
        <f>""</f>
        <v/>
      </c>
      <c r="M628" t="str">
        <f>"9985-3-0791-7"</f>
        <v>9985-3-0791-7</v>
      </c>
    </row>
    <row r="629" spans="1:13" ht="15">
      <c r="A629" t="s">
        <v>155</v>
      </c>
      <c r="B629" t="str">
        <f>"7249"</f>
        <v>7249</v>
      </c>
      <c r="C629" t="str">
        <f>"2002"</f>
        <v>2002</v>
      </c>
      <c r="D629" t="str">
        <f>"Vita nätter och svarta : en brevväxling mellan Jaan Kaplinski och Johannes Salminen"</f>
        <v>Vita nätter och svarta : en brevväxling mellan Jaan Kaplinski och Johannes Salminen</v>
      </c>
      <c r="E629" t="str">
        <f>"viro, välikieli"</f>
        <v>viro, välikieli</v>
      </c>
      <c r="F629" t="str">
        <f>""</f>
        <v/>
      </c>
      <c r="G629" t="str">
        <f>"  täiskasvanud"</f>
        <v xml:space="preserve">  täiskasvanud</v>
      </c>
      <c r="H629" t="str">
        <f t="shared" si="58"/>
        <v>2003</v>
      </c>
      <c r="I629" t="str">
        <f>"Ööd valged ja mustad"</f>
        <v>Ööd valged ja mustad</v>
      </c>
      <c r="J629" t="str">
        <f>"Allik, Mari, Laagus, Aino"</f>
        <v>Allik, Mari, Laagus, Aino</v>
      </c>
      <c r="K629" t="str">
        <f>"Perioodika, Tallinn"</f>
        <v>Perioodika, Tallinn</v>
      </c>
      <c r="L629" t="str">
        <f>""</f>
        <v/>
      </c>
      <c r="M629" t="str">
        <f>"9985-853-32-6"</f>
        <v>9985-853-32-6</v>
      </c>
    </row>
    <row r="630" spans="1:13" ht="15">
      <c r="A630" t="s">
        <v>250</v>
      </c>
      <c r="B630" t="str">
        <f>"6680"</f>
        <v>6680</v>
      </c>
      <c r="C630" t="str">
        <f>"1906"</f>
        <v>1906</v>
      </c>
      <c r="D630" t="str">
        <f>"Tarulinna"</f>
        <v>Tarulinna</v>
      </c>
      <c r="E630" t="str">
        <f aca="true" t="shared" si="59" ref="E630:E637">"viro"</f>
        <v>viro</v>
      </c>
      <c r="F630" t="str">
        <f>"muinasjutud; proosa"</f>
        <v>muinasjutud; proosa</v>
      </c>
      <c r="G630" t="str">
        <f>" lapsed ja noored"</f>
        <v xml:space="preserve"> lapsed ja noored</v>
      </c>
      <c r="H630" t="str">
        <f t="shared" si="58"/>
        <v>2003</v>
      </c>
      <c r="I630" t="str">
        <f>"Teemantkroon"</f>
        <v>Teemantkroon</v>
      </c>
      <c r="J630" t="str">
        <f>"Raudsepp, Ernst"</f>
        <v>Raudsepp, Ernst</v>
      </c>
      <c r="K630" t="str">
        <f>"Steamark, Tallinn"</f>
        <v>Steamark, Tallinn</v>
      </c>
      <c r="L630" t="str">
        <f>""</f>
        <v/>
      </c>
      <c r="M630" t="str">
        <f>"9985-9482-9-7"</f>
        <v>9985-9482-9-7</v>
      </c>
    </row>
    <row r="631" spans="1:13" ht="15">
      <c r="A631" t="s">
        <v>291</v>
      </c>
      <c r="B631" t="str">
        <f>"7297"</f>
        <v>7297</v>
      </c>
      <c r="C631" t="str">
        <f>"1996"</f>
        <v>1996</v>
      </c>
      <c r="D631" t="str">
        <f>"Den finska mannens sorg"</f>
        <v>Den finska mannens sorg</v>
      </c>
      <c r="E631" t="str">
        <f t="shared" si="59"/>
        <v>viro</v>
      </c>
      <c r="F631" t="str">
        <f>"romaanid; proosa"</f>
        <v>romaanid; proosa</v>
      </c>
      <c r="G631" t="str">
        <f>"  täiskasvanud"</f>
        <v xml:space="preserve">  täiskasvanud</v>
      </c>
      <c r="H631" t="str">
        <f t="shared" si="58"/>
        <v>2003</v>
      </c>
      <c r="I631" t="str">
        <f>"Soome mehe mure"</f>
        <v>Soome mehe mure</v>
      </c>
      <c r="J631" t="str">
        <f>"Aaloe, Ülev"</f>
        <v>Aaloe, Ülev</v>
      </c>
      <c r="K631" t="str">
        <f>"Perioodika, Tallinn"</f>
        <v>Perioodika, Tallinn</v>
      </c>
      <c r="L631" t="str">
        <f>""</f>
        <v/>
      </c>
      <c r="M631" t="str">
        <f>"9985-853-38-5"</f>
        <v>9985-853-38-5</v>
      </c>
    </row>
    <row r="632" spans="1:13" ht="15">
      <c r="A632" t="s">
        <v>321</v>
      </c>
      <c r="B632" t="str">
        <f>"7341"</f>
        <v>7341</v>
      </c>
      <c r="C632" t="str">
        <f>"1975"</f>
        <v>1975</v>
      </c>
      <c r="D632" t="str">
        <f>"Herra Huu muuttaa"</f>
        <v>Herra Huu muuttaa</v>
      </c>
      <c r="E632" t="str">
        <f t="shared" si="59"/>
        <v>viro</v>
      </c>
      <c r="F632" t="str">
        <f>"proosa"</f>
        <v>proosa</v>
      </c>
      <c r="G632" t="str">
        <f>" lapsed ja noored"</f>
        <v xml:space="preserve"> lapsed ja noored</v>
      </c>
      <c r="H632" t="str">
        <f t="shared" si="58"/>
        <v>2003</v>
      </c>
      <c r="I632" t="str">
        <f>"Härra Huu kolib ära"</f>
        <v>Härra Huu kolib ära</v>
      </c>
      <c r="J632" t="str">
        <f>"Niit, Ellen, Saluri, Piret"</f>
        <v>Niit, Ellen, Saluri, Piret</v>
      </c>
      <c r="K632" t="str">
        <f>"Tiritamm, Tallinn"</f>
        <v>Tiritamm, Tallinn</v>
      </c>
      <c r="L632" t="str">
        <f>""</f>
        <v/>
      </c>
      <c r="M632" t="str">
        <f>"9985-55-166-4"</f>
        <v>9985-55-166-4</v>
      </c>
    </row>
    <row r="633" spans="1:13" ht="15">
      <c r="A633" t="s">
        <v>321</v>
      </c>
      <c r="B633" t="str">
        <f>"7254"</f>
        <v>7254</v>
      </c>
      <c r="C633" t="str">
        <f>"1995"</f>
        <v>1995</v>
      </c>
      <c r="D633" t="str">
        <f>"Mestari: Eino Leinon elämä ja kuolema : romaani"</f>
        <v>Mestari: Eino Leinon elämä ja kuolema : romaani</v>
      </c>
      <c r="E633" t="str">
        <f t="shared" si="59"/>
        <v>viro</v>
      </c>
      <c r="F633" t="str">
        <f>"romaanid; proosa"</f>
        <v>romaanid; proosa</v>
      </c>
      <c r="G633" t="str">
        <f>"  täiskasvanud"</f>
        <v xml:space="preserve">  täiskasvanud</v>
      </c>
      <c r="H633" t="str">
        <f t="shared" si="58"/>
        <v>2003</v>
      </c>
      <c r="I633" t="str">
        <f>"Meister"</f>
        <v>Meister</v>
      </c>
      <c r="J633" t="str">
        <f>"Saluri, Piret"</f>
        <v>Saluri, Piret</v>
      </c>
      <c r="K633" t="str">
        <f>"Sinisukk, Tallinn"</f>
        <v>Sinisukk, Tallinn</v>
      </c>
      <c r="L633" t="str">
        <f>""</f>
        <v/>
      </c>
      <c r="M633" t="str">
        <f>"9985-73-605-2"</f>
        <v>9985-73-605-2</v>
      </c>
    </row>
    <row r="634" spans="1:13" ht="15">
      <c r="A634" t="s">
        <v>356</v>
      </c>
      <c r="B634" t="str">
        <f>"7314"</f>
        <v>7314</v>
      </c>
      <c r="C634" t="str">
        <f>"1992"</f>
        <v>1992</v>
      </c>
      <c r="D634" t="str">
        <f>"Maailman paras kylä"</f>
        <v>Maailman paras kylä</v>
      </c>
      <c r="E634" t="str">
        <f t="shared" si="59"/>
        <v>viro</v>
      </c>
      <c r="F634" t="str">
        <f>"romaanid; proosa"</f>
        <v>romaanid; proosa</v>
      </c>
      <c r="G634" t="str">
        <f>"  täiskasvanud"</f>
        <v xml:space="preserve">  täiskasvanud</v>
      </c>
      <c r="H634" t="str">
        <f t="shared" si="58"/>
        <v>2003</v>
      </c>
      <c r="I634" t="str">
        <f>"Maailma parim küla"</f>
        <v>Maailma parim küla</v>
      </c>
      <c r="J634" t="str">
        <f>"Vahter, Tauno"</f>
        <v>Vahter, Tauno</v>
      </c>
      <c r="K634" t="str">
        <f>"Varrak, Tallinn"</f>
        <v>Varrak, Tallinn</v>
      </c>
      <c r="L634" t="str">
        <f>""</f>
        <v/>
      </c>
      <c r="M634" t="str">
        <f>"9985-3-0655-4"</f>
        <v>9985-3-0655-4</v>
      </c>
    </row>
    <row r="635" spans="1:13" ht="15">
      <c r="A635" t="s">
        <v>401</v>
      </c>
      <c r="B635" t="str">
        <f>"15143"</f>
        <v>15143</v>
      </c>
      <c r="C635" t="str">
        <f>"2001"</f>
        <v>2001</v>
      </c>
      <c r="D635" t="str">
        <f>"Sateenkaaren värit : Lennart Meren elämä ystävien silmin"</f>
        <v>Sateenkaaren värit : Lennart Meren elämä ystävien silmin</v>
      </c>
      <c r="E635" t="str">
        <f t="shared" si="59"/>
        <v>viro</v>
      </c>
      <c r="F635" t="str">
        <f>""</f>
        <v/>
      </c>
      <c r="G635" t="str">
        <f>"  täiskasvanud"</f>
        <v xml:space="preserve">  täiskasvanud</v>
      </c>
      <c r="H635" t="str">
        <f t="shared" si="58"/>
        <v>2003</v>
      </c>
      <c r="I635" t="str">
        <f>"Vikerkaare värvid"</f>
        <v>Vikerkaare värvid</v>
      </c>
      <c r="J635" t="str">
        <f>"Kaaber, Ene"</f>
        <v>Kaaber, Ene</v>
      </c>
      <c r="K635" t="str">
        <f>"Varrak, Tallinn"</f>
        <v>Varrak, Tallinn</v>
      </c>
      <c r="L635" t="str">
        <f>""</f>
        <v/>
      </c>
      <c r="M635" t="str">
        <f>"9985307577"</f>
        <v>9985307577</v>
      </c>
    </row>
    <row r="636" spans="1:13" ht="15">
      <c r="A636" t="s">
        <v>405</v>
      </c>
      <c r="B636" t="str">
        <f>"7306"</f>
        <v>7306</v>
      </c>
      <c r="C636" t="str">
        <f>"2001"</f>
        <v>2001</v>
      </c>
      <c r="D636" t="str">
        <f>"Canal grande"</f>
        <v>Canal grande</v>
      </c>
      <c r="E636" t="str">
        <f t="shared" si="59"/>
        <v>viro</v>
      </c>
      <c r="F636" t="str">
        <f>"romaanid; proosa"</f>
        <v>romaanid; proosa</v>
      </c>
      <c r="G636" t="str">
        <f>"  täiskasvanud"</f>
        <v xml:space="preserve">  täiskasvanud</v>
      </c>
      <c r="H636" t="str">
        <f t="shared" si="58"/>
        <v>2003</v>
      </c>
      <c r="I636" t="str">
        <f>"Canal Grande"</f>
        <v>Canal Grande</v>
      </c>
      <c r="J636" t="str">
        <f>"Lõhmus, Aivo"</f>
        <v>Lõhmus, Aivo</v>
      </c>
      <c r="K636" t="str">
        <f>"Varrak, Tallinn"</f>
        <v>Varrak, Tallinn</v>
      </c>
      <c r="L636" t="str">
        <f>""</f>
        <v/>
      </c>
      <c r="M636" t="str">
        <f>" 9985-3-0782-8"</f>
        <v xml:space="preserve"> 9985-3-0782-8</v>
      </c>
    </row>
    <row r="637" spans="1:13" ht="15">
      <c r="A637" t="s">
        <v>437</v>
      </c>
      <c r="B637" t="str">
        <f>"7303"</f>
        <v>7303</v>
      </c>
      <c r="C637" t="str">
        <f>"1999"</f>
        <v>1999</v>
      </c>
      <c r="D637" t="str">
        <f>"Symposium"</f>
        <v>Symposium</v>
      </c>
      <c r="E637" t="str">
        <f t="shared" si="59"/>
        <v>viro</v>
      </c>
      <c r="F637" t="str">
        <f>""</f>
        <v/>
      </c>
      <c r="G637" t="str">
        <f>"  täiskasvanud"</f>
        <v xml:space="preserve">  täiskasvanud</v>
      </c>
      <c r="H637" t="str">
        <f t="shared" si="58"/>
        <v>2003</v>
      </c>
      <c r="I637" t="str">
        <f>"Symposium"</f>
        <v>Symposium</v>
      </c>
      <c r="J637" t="str">
        <f>"Luure, Andres"</f>
        <v>Luure, Andres</v>
      </c>
      <c r="K637" t="str">
        <f>"Fontese Kirjastus, Tartu"</f>
        <v>Fontese Kirjastus, Tartu</v>
      </c>
      <c r="L637" t="str">
        <f>""</f>
        <v/>
      </c>
      <c r="M637" t="str">
        <f>"9985-2-0876-5"</f>
        <v>9985-2-0876-5</v>
      </c>
    </row>
    <row r="638" spans="1:13" ht="15">
      <c r="A638" t="s">
        <v>441</v>
      </c>
      <c r="B638" t="str">
        <f>"7249"</f>
        <v>7249</v>
      </c>
      <c r="C638" t="str">
        <f>"2002"</f>
        <v>2002</v>
      </c>
      <c r="D638" t="str">
        <f>"Vita nätter och svarta : en brevväxling mellan Jaan Kaplinski och Johannes Salminen"</f>
        <v>Vita nätter och svarta : en brevväxling mellan Jaan Kaplinski och Johannes Salminen</v>
      </c>
      <c r="E638" t="str">
        <f>"viro, välikieli"</f>
        <v>viro, välikieli</v>
      </c>
      <c r="F638" t="str">
        <f>""</f>
        <v/>
      </c>
      <c r="G638" t="str">
        <f>"  täiskasvanud"</f>
        <v xml:space="preserve">  täiskasvanud</v>
      </c>
      <c r="H638" t="str">
        <f t="shared" si="58"/>
        <v>2003</v>
      </c>
      <c r="I638" t="str">
        <f>"Ööd valged ja mustad"</f>
        <v>Ööd valged ja mustad</v>
      </c>
      <c r="J638" t="str">
        <f>"Allik, Mari, Laagus, Aino"</f>
        <v>Allik, Mari, Laagus, Aino</v>
      </c>
      <c r="K638" t="str">
        <f>"Perioodika, Tallinn"</f>
        <v>Perioodika, Tallinn</v>
      </c>
      <c r="L638" t="str">
        <f>""</f>
        <v/>
      </c>
      <c r="M638" t="str">
        <f>"9985-853-32-6"</f>
        <v>9985-853-32-6</v>
      </c>
    </row>
    <row r="639" spans="1:13" ht="15">
      <c r="A639" t="s">
        <v>457</v>
      </c>
      <c r="B639" t="str">
        <f>"7311"</f>
        <v>7311</v>
      </c>
      <c r="C639" t="str">
        <f>"2002"</f>
        <v>2002</v>
      </c>
      <c r="D639" t="str">
        <f>"Avaran sielun anarkia"</f>
        <v>Avaran sielun anarkia</v>
      </c>
      <c r="E639" t="str">
        <f aca="true" t="shared" si="60" ref="E639:E670">"viro"</f>
        <v>viro</v>
      </c>
      <c r="F639" t="str">
        <f>""</f>
        <v/>
      </c>
      <c r="G639" t="str">
        <f>"  täiskasvanud"</f>
        <v xml:space="preserve">  täiskasvanud</v>
      </c>
      <c r="H639" t="str">
        <f t="shared" si="58"/>
        <v>2003</v>
      </c>
      <c r="I639" t="str">
        <f>"Avara hinge anarhia"</f>
        <v>Avara hinge anarhia</v>
      </c>
      <c r="J639" t="str">
        <f>"Saluri, Piret"</f>
        <v>Saluri, Piret</v>
      </c>
      <c r="K639" t="str">
        <f>"Olion, Tallinn"</f>
        <v>Olion, Tallinn</v>
      </c>
      <c r="L639" t="str">
        <f>""</f>
        <v/>
      </c>
      <c r="M639" t="str">
        <f>"9985-66-356-X"</f>
        <v>9985-66-356-X</v>
      </c>
    </row>
    <row r="640" spans="1:13" ht="15">
      <c r="A640" t="s">
        <v>500</v>
      </c>
      <c r="B640" t="str">
        <f>"7216"</f>
        <v>7216</v>
      </c>
      <c r="C640" t="str">
        <f>"1995"</f>
        <v>1995</v>
      </c>
      <c r="D640" t="str">
        <f>"Professori Amfortasin salaisuus"</f>
        <v>Professori Amfortasin salaisuus</v>
      </c>
      <c r="E640" t="str">
        <f t="shared" si="60"/>
        <v>viro</v>
      </c>
      <c r="F640" t="str">
        <f>"romaanid; proosa"</f>
        <v>romaanid; proosa</v>
      </c>
      <c r="G640" t="str">
        <f>"  täiskasvanud"</f>
        <v xml:space="preserve">  täiskasvanud</v>
      </c>
      <c r="H640" t="str">
        <f t="shared" si="58"/>
        <v>2003</v>
      </c>
      <c r="I640" t="str">
        <f>"Professor Amfortase saladus"</f>
        <v>Professor Amfortase saladus</v>
      </c>
      <c r="J640" t="str">
        <f>"Lõhmus, Aivo"</f>
        <v>Lõhmus, Aivo</v>
      </c>
      <c r="K640" t="str">
        <f>"Tartu Ülikooli Kirjastus, Tartu"</f>
        <v>Tartu Ülikooli Kirjastus, Tartu</v>
      </c>
      <c r="L640" t="str">
        <f>""</f>
        <v/>
      </c>
      <c r="M640" t="str">
        <f>"9985-56-726-9"</f>
        <v>9985-56-726-9</v>
      </c>
    </row>
    <row r="641" spans="1:13" ht="15">
      <c r="A641" t="s">
        <v>509</v>
      </c>
      <c r="B641" t="str">
        <f>"7257"</f>
        <v>7257</v>
      </c>
      <c r="C641" t="str">
        <f>"1999"</f>
        <v>1999</v>
      </c>
      <c r="D641" t="str">
        <f>"Rakas Mikael"</f>
        <v>Rakas Mikael</v>
      </c>
      <c r="E641" t="str">
        <f t="shared" si="60"/>
        <v>viro</v>
      </c>
      <c r="F641" t="str">
        <f>"romaanid; proosa"</f>
        <v>romaanid; proosa</v>
      </c>
      <c r="G641" t="str">
        <f>" lapsed ja noored"</f>
        <v xml:space="preserve"> lapsed ja noored</v>
      </c>
      <c r="H641" t="str">
        <f t="shared" si="58"/>
        <v>2003</v>
      </c>
      <c r="I641" t="str">
        <f>"Kallis Mikael"</f>
        <v>Kallis Mikael</v>
      </c>
      <c r="J641" t="str">
        <f>"Vesi, Annika"</f>
        <v>Vesi, Annika</v>
      </c>
      <c r="K641" t="str">
        <f>"Avita, Tallinn"</f>
        <v>Avita, Tallinn</v>
      </c>
      <c r="L641" t="str">
        <f>""</f>
        <v/>
      </c>
      <c r="M641" t="str">
        <f>"9985-2-0791-2"</f>
        <v>9985-2-0791-2</v>
      </c>
    </row>
    <row r="642" spans="1:13" ht="15">
      <c r="A642" t="s">
        <v>519</v>
      </c>
      <c r="B642" t="str">
        <f>"7615"</f>
        <v>7615</v>
      </c>
      <c r="C642" t="str">
        <f>"1849"</f>
        <v>1849</v>
      </c>
      <c r="D642" t="str">
        <f>"Knut Spelevink"</f>
        <v>Knut Spelevink</v>
      </c>
      <c r="E642" t="str">
        <f t="shared" si="60"/>
        <v>viro</v>
      </c>
      <c r="F642" t="str">
        <f>"muinasjutud; proosa"</f>
        <v>muinasjutud; proosa</v>
      </c>
      <c r="G642" t="str">
        <f>" lapsed ja noored"</f>
        <v xml:space="preserve"> lapsed ja noored</v>
      </c>
      <c r="H642" t="str">
        <f t="shared" si="58"/>
        <v>2003</v>
      </c>
      <c r="I642" t="str">
        <f>"Knut Pillimees"</f>
        <v>Knut Pillimees</v>
      </c>
      <c r="J642" t="str">
        <f>"Viiding, Linda"</f>
        <v>Viiding, Linda</v>
      </c>
      <c r="K642" t="str">
        <f>"Varrak, Tallinn"</f>
        <v>Varrak, Tallinn</v>
      </c>
      <c r="L642" t="str">
        <f>""</f>
        <v/>
      </c>
      <c r="M642" t="str">
        <f>"9985-3-0559-0"</f>
        <v>9985-3-0559-0</v>
      </c>
    </row>
    <row r="643" spans="1:13" ht="15">
      <c r="A643" t="s">
        <v>526</v>
      </c>
      <c r="B643" t="str">
        <f>"7616"</f>
        <v>7616</v>
      </c>
      <c r="C643" t="str">
        <f>"2002"</f>
        <v>2002</v>
      </c>
      <c r="D643" t="str">
        <f>"Presidentti Konstantin Päts : Viro ja Suomi eri teillä"</f>
        <v>Presidentti Konstantin Päts : Viro ja Suomi eri teillä</v>
      </c>
      <c r="E643" t="str">
        <f t="shared" si="60"/>
        <v>viro</v>
      </c>
      <c r="F643" t="str">
        <f>""</f>
        <v/>
      </c>
      <c r="G643" t="str">
        <f>"  täiskasvanud"</f>
        <v xml:space="preserve">  täiskasvanud</v>
      </c>
      <c r="H643" t="str">
        <f t="shared" si="58"/>
        <v>2003</v>
      </c>
      <c r="I643" t="str">
        <f>"President Konstantin Päts"</f>
        <v>President Konstantin Päts</v>
      </c>
      <c r="J643" t="str">
        <f>"Berg, Maimu"</f>
        <v>Berg, Maimu</v>
      </c>
      <c r="K643" t="str">
        <f>"Tänapäev, Tallinn"</f>
        <v>Tänapäev, Tallinn</v>
      </c>
      <c r="L643" t="str">
        <f>""</f>
        <v/>
      </c>
      <c r="M643" t="str">
        <f>"9985-62-118-2"</f>
        <v>9985-62-118-2</v>
      </c>
    </row>
    <row r="644" spans="1:13" ht="15">
      <c r="A644" t="s">
        <v>532</v>
      </c>
      <c r="B644" t="str">
        <f>"7357"</f>
        <v>7357</v>
      </c>
      <c r="C644" t="str">
        <f>"2000"</f>
        <v>2000</v>
      </c>
      <c r="D644" t="str">
        <f>"Unelmien pitsit : Mairen uusia virkkausmalleja"</f>
        <v>Unelmien pitsit : Mairen uusia virkkausmalleja</v>
      </c>
      <c r="E644" t="str">
        <f t="shared" si="60"/>
        <v>viro</v>
      </c>
      <c r="F644" t="str">
        <f>""</f>
        <v/>
      </c>
      <c r="G644" t="str">
        <f>"  täiskasvanud"</f>
        <v xml:space="preserve">  täiskasvanud</v>
      </c>
      <c r="H644" t="str">
        <f t="shared" si="58"/>
        <v>2003</v>
      </c>
      <c r="I644" t="str">
        <f>"Unelmate pitsid"</f>
        <v>Unelmate pitsid</v>
      </c>
      <c r="J644" t="str">
        <f>"Saul, Anne"</f>
        <v>Saul, Anne</v>
      </c>
      <c r="K644" t="str">
        <f>"Sinisukk, Tallinn"</f>
        <v>Sinisukk, Tallinn</v>
      </c>
      <c r="L644" t="str">
        <f>""</f>
        <v/>
      </c>
      <c r="M644" t="str">
        <f>"9985-73-618-4"</f>
        <v>9985-73-618-4</v>
      </c>
    </row>
    <row r="645" spans="2:13" ht="15">
      <c r="B645" t="str">
        <f>"7425"</f>
        <v>7425</v>
      </c>
      <c r="C645" t="str">
        <f>""</f>
        <v/>
      </c>
      <c r="D645" t="str">
        <f>""</f>
        <v/>
      </c>
      <c r="E645" t="str">
        <f t="shared" si="60"/>
        <v>viro</v>
      </c>
      <c r="F645" t="str">
        <f>"luule, lüürika"</f>
        <v>luule, lüürika</v>
      </c>
      <c r="G645" t="str">
        <f>"  täiskasvanud"</f>
        <v xml:space="preserve">  täiskasvanud</v>
      </c>
      <c r="H645" t="str">
        <f aca="true" t="shared" si="61" ref="H645:H663">"2004"</f>
        <v>2004</v>
      </c>
      <c r="I645" t="str">
        <f>"See sama soolane meri"</f>
        <v>See sama soolane meri</v>
      </c>
      <c r="J645" t="str">
        <f>"Kaus, Jan, Kitsnik, Lauri, Kruusa, Kalju, Park, Eeva, Seinberg, Tuuli, Sommer, Lauri"</f>
        <v>Kaus, Jan, Kitsnik, Lauri, Kruusa, Kalju, Park, Eeva, Seinberg, Tuuli, Sommer, Lauri</v>
      </c>
      <c r="K645" t="str">
        <f>"Koma, Tallinn"</f>
        <v>Koma, Tallinn</v>
      </c>
      <c r="L645" t="str">
        <f>""</f>
        <v/>
      </c>
      <c r="M645" t="str">
        <f>"9949-10-516-1"</f>
        <v>9949-10-516-1</v>
      </c>
    </row>
    <row r="646" spans="2:13" ht="15">
      <c r="B646" t="str">
        <f>"7448"</f>
        <v>7448</v>
      </c>
      <c r="C646" t="str">
        <f>""</f>
        <v/>
      </c>
      <c r="D646" t="str">
        <f>""</f>
        <v/>
      </c>
      <c r="E646" t="str">
        <f t="shared" si="60"/>
        <v>viro</v>
      </c>
      <c r="F646" t="str">
        <f>"luule, lüürika"</f>
        <v>luule, lüürika</v>
      </c>
      <c r="G646" t="str">
        <f>"  täiskasvanud"</f>
        <v xml:space="preserve">  täiskasvanud</v>
      </c>
      <c r="H646" t="str">
        <f t="shared" si="61"/>
        <v>2004</v>
      </c>
      <c r="I646" t="str">
        <f>"Teisele poole sinist"</f>
        <v>Teisele poole sinist</v>
      </c>
      <c r="J646" t="str">
        <f>"Kaus, Jan, Mägi, Juta-Tiia, Park, Eeva"</f>
        <v>Kaus, Jan, Mägi, Juta-Tiia, Park, Eeva</v>
      </c>
      <c r="K646" t="str">
        <f>"Eesti Raamat, Tallinn"</f>
        <v>Eesti Raamat, Tallinn</v>
      </c>
      <c r="L646" t="str">
        <f>""</f>
        <v/>
      </c>
      <c r="M646" t="str">
        <f>"9985-65-451-X"</f>
        <v>9985-65-451-X</v>
      </c>
    </row>
    <row r="647" spans="1:13" ht="15">
      <c r="A647" t="s">
        <v>13</v>
      </c>
      <c r="B647" t="str">
        <f>"7426"</f>
        <v>7426</v>
      </c>
      <c r="C647" t="str">
        <f>"1974"</f>
        <v>1974</v>
      </c>
      <c r="D647" t="str">
        <f>"66 pasianssia"</f>
        <v>66 pasianssia</v>
      </c>
      <c r="E647" t="str">
        <f t="shared" si="60"/>
        <v>viro</v>
      </c>
      <c r="F647" t="str">
        <f>""</f>
        <v/>
      </c>
      <c r="G647" t="str">
        <f>"  täiskasvanud"</f>
        <v xml:space="preserve">  täiskasvanud</v>
      </c>
      <c r="H647" t="str">
        <f t="shared" si="61"/>
        <v>2004</v>
      </c>
      <c r="I647" t="str">
        <f>"66 pasjanssi"</f>
        <v>66 pasjanssi</v>
      </c>
      <c r="J647" t="str">
        <f>"Eelrand, Mait"</f>
        <v>Eelrand, Mait</v>
      </c>
      <c r="K647" t="str">
        <f>"Tänapäev, Tallinn"</f>
        <v>Tänapäev, Tallinn</v>
      </c>
      <c r="L647" t="str">
        <f>""</f>
        <v/>
      </c>
      <c r="M647" t="str">
        <f>"9985-62-218-9"</f>
        <v>9985-62-218-9</v>
      </c>
    </row>
    <row r="648" spans="1:13" ht="15">
      <c r="A648" t="s">
        <v>64</v>
      </c>
      <c r="B648" t="str">
        <f>"9953"</f>
        <v>9953</v>
      </c>
      <c r="C648" t="str">
        <f>"2004"</f>
        <v>2004</v>
      </c>
      <c r="D648" t="str">
        <f>"Muumitalo"</f>
        <v>Muumitalo</v>
      </c>
      <c r="E648" t="str">
        <f t="shared" si="60"/>
        <v>viro</v>
      </c>
      <c r="F648" t="str">
        <f>"pildiraamatud"</f>
        <v>pildiraamatud</v>
      </c>
      <c r="G648" t="str">
        <f>" lapsed ja noored"</f>
        <v xml:space="preserve"> lapsed ja noored</v>
      </c>
      <c r="H648" t="str">
        <f t="shared" si="61"/>
        <v>2004</v>
      </c>
      <c r="I648" t="str">
        <f>"Muumitrolli maja"</f>
        <v>Muumitrolli maja</v>
      </c>
      <c r="J648" t="str">
        <f>"Kaasik, Igor"</f>
        <v>Kaasik, Igor</v>
      </c>
      <c r="K648" t="str">
        <f>"Balti Raamat, Tallinn"</f>
        <v>Balti Raamat, Tallinn</v>
      </c>
      <c r="L648" t="str">
        <f>""</f>
        <v/>
      </c>
      <c r="M648" t="str">
        <f>"978-9985-849-48-4"</f>
        <v>978-9985-849-48-4</v>
      </c>
    </row>
    <row r="649" spans="1:13" ht="15">
      <c r="A649" t="s">
        <v>73</v>
      </c>
      <c r="B649" t="str">
        <f>"16521"</f>
        <v>16521</v>
      </c>
      <c r="C649" t="str">
        <f>"1998"</f>
        <v>1998</v>
      </c>
      <c r="D649" t="str">
        <f>"Virtahepo työpaikalla"</f>
        <v>Virtahepo työpaikalla</v>
      </c>
      <c r="E649" t="str">
        <f t="shared" si="60"/>
        <v>viro</v>
      </c>
      <c r="F649" t="str">
        <f>""</f>
        <v/>
      </c>
      <c r="G649" t="str">
        <f>"  täiskasvanud"</f>
        <v xml:space="preserve">  täiskasvanud</v>
      </c>
      <c r="H649" t="str">
        <f t="shared" si="61"/>
        <v>2004</v>
      </c>
      <c r="I649" t="str">
        <f>"Jõehobu töökohal"</f>
        <v>Jõehobu töökohal</v>
      </c>
      <c r="J649" t="str">
        <f>"Ülemaantee, Tõnu"</f>
        <v>Ülemaantee, Tõnu</v>
      </c>
      <c r="K649" t="str">
        <f>"Johannes Esto Ühing, Tartu"</f>
        <v>Johannes Esto Ühing, Tartu</v>
      </c>
      <c r="L649" t="str">
        <f>""</f>
        <v/>
      </c>
      <c r="M649" t="str">
        <f>"9789985876480"</f>
        <v>9789985876480</v>
      </c>
    </row>
    <row r="650" spans="1:13" ht="15">
      <c r="A650" t="s">
        <v>114</v>
      </c>
      <c r="B650" t="str">
        <f>"7496"</f>
        <v>7496</v>
      </c>
      <c r="C650" t="str">
        <f>"1955"</f>
        <v>1955</v>
      </c>
      <c r="D650" t="str">
        <f>"Diplomaattien talvisota"</f>
        <v>Diplomaattien talvisota</v>
      </c>
      <c r="E650" t="str">
        <f t="shared" si="60"/>
        <v>viro</v>
      </c>
      <c r="F650" t="str">
        <f>""</f>
        <v/>
      </c>
      <c r="G650" t="str">
        <f>"  täiskasvanud"</f>
        <v xml:space="preserve">  täiskasvanud</v>
      </c>
      <c r="H650" t="str">
        <f t="shared" si="61"/>
        <v>2004</v>
      </c>
      <c r="I650" t="str">
        <f>"Talvesõja diplomaatia"</f>
        <v>Talvesõja diplomaatia</v>
      </c>
      <c r="J650" t="str">
        <f>"Teppan, Olavi"</f>
        <v>Teppan, Olavi</v>
      </c>
      <c r="K650" t="str">
        <f>"Tänapäev, Tallinn"</f>
        <v>Tänapäev, Tallinn</v>
      </c>
      <c r="L650" t="str">
        <f>""</f>
        <v/>
      </c>
      <c r="M650" t="str">
        <f>"9985-62-249-9"</f>
        <v>9985-62-249-9</v>
      </c>
    </row>
    <row r="651" spans="1:13" ht="15">
      <c r="A651" t="s">
        <v>117</v>
      </c>
      <c r="B651" t="str">
        <f>"11351"</f>
        <v>11351</v>
      </c>
      <c r="C651" t="str">
        <f>"1957"</f>
        <v>1957</v>
      </c>
      <c r="D651" t="str">
        <f>"Trollkarlens hatt ; Muminpappans memoarer ; Trollvinter"</f>
        <v>Trollkarlens hatt ; Muminpappans memoarer ; Trollvinter</v>
      </c>
      <c r="E651" t="str">
        <f t="shared" si="60"/>
        <v>viro</v>
      </c>
      <c r="F651" t="str">
        <f>"proosa"</f>
        <v>proosa</v>
      </c>
      <c r="G651" t="str">
        <f>" lapsed ja noored"</f>
        <v xml:space="preserve"> lapsed ja noored</v>
      </c>
      <c r="H651" t="str">
        <f t="shared" si="61"/>
        <v>2004</v>
      </c>
      <c r="I651" t="str">
        <f>"Muumitroll"</f>
        <v>Muumitroll</v>
      </c>
      <c r="J651" t="str">
        <f>"Beekman, Vladimir"</f>
        <v>Beekman, Vladimir</v>
      </c>
      <c r="K651" t="str">
        <f>"Tiritamm, Tallinn"</f>
        <v>Tiritamm, Tallinn</v>
      </c>
      <c r="L651" t="str">
        <f>"3. p."</f>
        <v>3. p.</v>
      </c>
      <c r="M651" t="str">
        <f>"9985-55-191-5"</f>
        <v>9985-55-191-5</v>
      </c>
    </row>
    <row r="652" spans="1:13" ht="15">
      <c r="A652" t="s">
        <v>281</v>
      </c>
      <c r="B652" t="str">
        <f>"7537"</f>
        <v>7537</v>
      </c>
      <c r="C652" t="str">
        <f>"2000"</f>
        <v>2000</v>
      </c>
      <c r="D652" t="str">
        <f>"Muodonmuutos"</f>
        <v>Muodonmuutos</v>
      </c>
      <c r="E652" t="str">
        <f t="shared" si="60"/>
        <v>viro</v>
      </c>
      <c r="F652" t="str">
        <f>""</f>
        <v/>
      </c>
      <c r="G652" t="str">
        <f>"  täiskasvanud"</f>
        <v xml:space="preserve">  täiskasvanud</v>
      </c>
      <c r="H652" t="str">
        <f t="shared" si="61"/>
        <v>2004</v>
      </c>
      <c r="I652" t="str">
        <f>"Muutumised"</f>
        <v>Muutumised</v>
      </c>
      <c r="J652" t="str">
        <f>"Jaanits, Kadri"</f>
        <v>Jaanits, Kadri</v>
      </c>
      <c r="K652" t="str">
        <f>"Fontese Kirjastus, Tartu"</f>
        <v>Fontese Kirjastus, Tartu</v>
      </c>
      <c r="L652" t="str">
        <f>""</f>
        <v/>
      </c>
      <c r="M652" t="str">
        <f>"9985-9406-9-5"</f>
        <v>9985-9406-9-5</v>
      </c>
    </row>
    <row r="653" spans="1:13" ht="15">
      <c r="A653" t="s">
        <v>321</v>
      </c>
      <c r="B653" t="str">
        <f>"7717"</f>
        <v>7717</v>
      </c>
      <c r="C653" t="str">
        <f>"2000"</f>
        <v>2000</v>
      </c>
      <c r="D653" t="str">
        <f>"Herra Huu hoitaa puutarhaa"</f>
        <v>Herra Huu hoitaa puutarhaa</v>
      </c>
      <c r="E653" t="str">
        <f t="shared" si="60"/>
        <v>viro</v>
      </c>
      <c r="F653" t="str">
        <f>"proosa"</f>
        <v>proosa</v>
      </c>
      <c r="G653" t="str">
        <f>" lapsed ja noored"</f>
        <v xml:space="preserve"> lapsed ja noored</v>
      </c>
      <c r="H653" t="str">
        <f t="shared" si="61"/>
        <v>2004</v>
      </c>
      <c r="I653" t="str">
        <f>"Härra Huu teeb aiatööd"</f>
        <v>Härra Huu teeb aiatööd</v>
      </c>
      <c r="J653" t="str">
        <f>"Saluri, Piret"</f>
        <v>Saluri, Piret</v>
      </c>
      <c r="K653" t="str">
        <f>"Tiritamm, Tallinn"</f>
        <v>Tiritamm, Tallinn</v>
      </c>
      <c r="L653" t="str">
        <f>""</f>
        <v/>
      </c>
      <c r="M653" t="str">
        <f>"9985-55-182-6"</f>
        <v>9985-55-182-6</v>
      </c>
    </row>
    <row r="654" spans="1:13" ht="15">
      <c r="A654" t="s">
        <v>321</v>
      </c>
      <c r="B654" t="str">
        <f>"7427"</f>
        <v>7427</v>
      </c>
      <c r="C654" t="str">
        <f>"1994"</f>
        <v>1994</v>
      </c>
      <c r="D654" t="str">
        <f>"Herra Huu matkoilla"</f>
        <v>Herra Huu matkoilla</v>
      </c>
      <c r="E654" t="str">
        <f t="shared" si="60"/>
        <v>viro</v>
      </c>
      <c r="F654" t="str">
        <f>"proosa"</f>
        <v>proosa</v>
      </c>
      <c r="G654" t="str">
        <f>" lapsed ja noored"</f>
        <v xml:space="preserve"> lapsed ja noored</v>
      </c>
      <c r="H654" t="str">
        <f t="shared" si="61"/>
        <v>2004</v>
      </c>
      <c r="I654" t="str">
        <f>"Härra Huu reisimas"</f>
        <v>Härra Huu reisimas</v>
      </c>
      <c r="J654" t="str">
        <f>"Saluri, Piret"</f>
        <v>Saluri, Piret</v>
      </c>
      <c r="K654" t="str">
        <f>"Tiritamm, Tallinn"</f>
        <v>Tiritamm, Tallinn</v>
      </c>
      <c r="L654" t="str">
        <f>""</f>
        <v/>
      </c>
      <c r="M654" t="str">
        <f>"9985-55-173-7"</f>
        <v>9985-55-173-7</v>
      </c>
    </row>
    <row r="655" spans="1:13" ht="15">
      <c r="A655" t="s">
        <v>346</v>
      </c>
      <c r="B655" t="str">
        <f>"7424"</f>
        <v>7424</v>
      </c>
      <c r="C655" t="str">
        <f>"2003"</f>
        <v>2003</v>
      </c>
      <c r="D655" t="str">
        <f>"Stalinin lehmät"</f>
        <v>Stalinin lehmät</v>
      </c>
      <c r="E655" t="str">
        <f t="shared" si="60"/>
        <v>viro</v>
      </c>
      <c r="F655" t="str">
        <f>"romaanid; proosa"</f>
        <v>romaanid; proosa</v>
      </c>
      <c r="G655" t="str">
        <f>"  täiskasvanud"</f>
        <v xml:space="preserve">  täiskasvanud</v>
      </c>
      <c r="H655" t="str">
        <f t="shared" si="61"/>
        <v>2004</v>
      </c>
      <c r="I655" t="str">
        <f>"Stalini lehmad"</f>
        <v>Stalini lehmad</v>
      </c>
      <c r="J655" t="str">
        <f>"Vahter, Tauno"</f>
        <v>Vahter, Tauno</v>
      </c>
      <c r="K655" t="str">
        <f>"Tänapäev, Tallinn"</f>
        <v>Tänapäev, Tallinn</v>
      </c>
      <c r="L655" t="str">
        <f>""</f>
        <v/>
      </c>
      <c r="M655" t="str">
        <f>"9985-62-217-0"</f>
        <v>9985-62-217-0</v>
      </c>
    </row>
    <row r="656" spans="1:13" ht="15">
      <c r="A656" t="s">
        <v>363</v>
      </c>
      <c r="B656" t="str">
        <f>"7446"</f>
        <v>7446</v>
      </c>
      <c r="C656" t="str">
        <f>"1996"</f>
        <v>1996</v>
      </c>
      <c r="D656" t="str">
        <f>"Syntymättömien sukupolvien Eurooppa"</f>
        <v>Syntymättömien sukupolvien Eurooppa</v>
      </c>
      <c r="E656" t="str">
        <f t="shared" si="60"/>
        <v>viro</v>
      </c>
      <c r="F656" t="str">
        <f>""</f>
        <v/>
      </c>
      <c r="G656" t="str">
        <f>"  täiskasvanud"</f>
        <v xml:space="preserve">  täiskasvanud</v>
      </c>
      <c r="H656" t="str">
        <f t="shared" si="61"/>
        <v>2004</v>
      </c>
      <c r="I656" t="str">
        <f>"Tuleviku Euroopa"</f>
        <v>Tuleviku Euroopa</v>
      </c>
      <c r="J656" t="str">
        <f>"Kurg, Kalle"</f>
        <v>Kurg, Kalle</v>
      </c>
      <c r="K656" t="str">
        <f>"Ilo, Tallinn"</f>
        <v>Ilo, Tallinn</v>
      </c>
      <c r="L656" t="str">
        <f>""</f>
        <v/>
      </c>
      <c r="M656" t="str">
        <f>"9985-57-537-7"</f>
        <v>9985-57-537-7</v>
      </c>
    </row>
    <row r="657" spans="1:13" ht="15">
      <c r="A657" t="s">
        <v>437</v>
      </c>
      <c r="B657" t="str">
        <f>"7537"</f>
        <v>7537</v>
      </c>
      <c r="C657" t="str">
        <f>"2000"</f>
        <v>2000</v>
      </c>
      <c r="D657" t="str">
        <f>"Muodonmuutos"</f>
        <v>Muodonmuutos</v>
      </c>
      <c r="E657" t="str">
        <f t="shared" si="60"/>
        <v>viro</v>
      </c>
      <c r="F657" t="str">
        <f>""</f>
        <v/>
      </c>
      <c r="G657" t="str">
        <f>"  täiskasvanud"</f>
        <v xml:space="preserve">  täiskasvanud</v>
      </c>
      <c r="H657" t="str">
        <f t="shared" si="61"/>
        <v>2004</v>
      </c>
      <c r="I657" t="str">
        <f>"Muutumised"</f>
        <v>Muutumised</v>
      </c>
      <c r="J657" t="str">
        <f>"Jaanits, Kadri"</f>
        <v>Jaanits, Kadri</v>
      </c>
      <c r="K657" t="str">
        <f>"Fontese Kirjastus, Tartu"</f>
        <v>Fontese Kirjastus, Tartu</v>
      </c>
      <c r="L657" t="str">
        <f>""</f>
        <v/>
      </c>
      <c r="M657" t="str">
        <f>"9985-9406-9-5"</f>
        <v>9985-9406-9-5</v>
      </c>
    </row>
    <row r="658" spans="1:13" ht="15">
      <c r="A658" t="s">
        <v>514</v>
      </c>
      <c r="B658" t="str">
        <f>"7423"</f>
        <v>7423</v>
      </c>
      <c r="C658" t="str">
        <f>""</f>
        <v/>
      </c>
      <c r="D658" t="str">
        <f>"Personliga angelägenheter ; Storfångaren"</f>
        <v>Personliga angelägenheter ; Storfångaren</v>
      </c>
      <c r="E658" t="str">
        <f t="shared" si="60"/>
        <v>viro</v>
      </c>
      <c r="F658" t="str">
        <f>"romaanid; proosa"</f>
        <v>romaanid; proosa</v>
      </c>
      <c r="G658" t="str">
        <f>"  täiskasvanud"</f>
        <v xml:space="preserve">  täiskasvanud</v>
      </c>
      <c r="H658" t="str">
        <f t="shared" si="61"/>
        <v>2004</v>
      </c>
      <c r="I658" t="str">
        <f>"Isiklikud asjad ; Suur hülgekütt"</f>
        <v>Isiklikud asjad ; Suur hülgekütt</v>
      </c>
      <c r="J658" t="str">
        <f>"Vain, Eha"</f>
        <v>Vain, Eha</v>
      </c>
      <c r="K658" t="str">
        <f>"Eesti Raamat, Tallinn"</f>
        <v>Eesti Raamat, Tallinn</v>
      </c>
      <c r="L658" t="str">
        <f>""</f>
        <v/>
      </c>
      <c r="M658" t="str">
        <f>"9985-65-448-X"</f>
        <v>9985-65-448-X</v>
      </c>
    </row>
    <row r="659" spans="1:13" ht="15">
      <c r="A659" t="s">
        <v>516</v>
      </c>
      <c r="B659" t="str">
        <f>"10021"</f>
        <v>10021</v>
      </c>
      <c r="C659" t="str">
        <f>"2002"</f>
        <v>2002</v>
      </c>
      <c r="D659" t="str">
        <f>"Iltakävelyllä"</f>
        <v>Iltakävelyllä</v>
      </c>
      <c r="E659" t="str">
        <f t="shared" si="60"/>
        <v>viro</v>
      </c>
      <c r="F659" t="str">
        <f>""</f>
        <v/>
      </c>
      <c r="G659" t="str">
        <f>"  täiskasvanud"</f>
        <v xml:space="preserve">  täiskasvanud</v>
      </c>
      <c r="H659" t="str">
        <f t="shared" si="61"/>
        <v>2004</v>
      </c>
      <c r="I659" t="str">
        <f>"Õhtusel jalutuskäigul Euroopas"</f>
        <v>Õhtusel jalutuskäigul Euroopas</v>
      </c>
      <c r="J659" t="str">
        <f>"Saluri, Piret"</f>
        <v>Saluri, Piret</v>
      </c>
      <c r="K659" t="str">
        <f>"Varrak, Tallinn"</f>
        <v>Varrak, Tallinn</v>
      </c>
      <c r="L659" t="str">
        <f>""</f>
        <v/>
      </c>
      <c r="M659" t="str">
        <f>"9985309030"</f>
        <v>9985309030</v>
      </c>
    </row>
    <row r="660" spans="1:13" ht="15">
      <c r="A660" t="s">
        <v>560</v>
      </c>
      <c r="B660" t="str">
        <f>"7589"</f>
        <v>7589</v>
      </c>
      <c r="C660" t="str">
        <f>"1998"</f>
        <v>1998</v>
      </c>
      <c r="D660" t="str">
        <f>"Juoppohullun päiväkirja"</f>
        <v>Juoppohullun päiväkirja</v>
      </c>
      <c r="E660" t="str">
        <f t="shared" si="60"/>
        <v>viro</v>
      </c>
      <c r="F660" t="str">
        <f>"romaanid; proosa"</f>
        <v>romaanid; proosa</v>
      </c>
      <c r="G660" t="str">
        <f>"  täiskasvanud"</f>
        <v xml:space="preserve">  täiskasvanud</v>
      </c>
      <c r="H660" t="str">
        <f t="shared" si="61"/>
        <v>2004</v>
      </c>
      <c r="I660" t="str">
        <f>"Joomahullu päevaraamat"</f>
        <v>Joomahullu päevaraamat</v>
      </c>
      <c r="J660" t="str">
        <f>"Mõisnik, Mihkel"</f>
        <v>Mõisnik, Mihkel</v>
      </c>
      <c r="K660" t="str">
        <f>"Hotger, Tallinn"</f>
        <v>Hotger, Tallinn</v>
      </c>
      <c r="L660" t="str">
        <f>""</f>
        <v/>
      </c>
      <c r="M660" t="str">
        <f>"9985-9526-3-4"</f>
        <v>9985-9526-3-4</v>
      </c>
    </row>
    <row r="661" spans="1:13" ht="15">
      <c r="A661" t="s">
        <v>569</v>
      </c>
      <c r="B661" t="str">
        <f>"7399"</f>
        <v>7399</v>
      </c>
      <c r="C661" t="str">
        <f>"1953"</f>
        <v>1953</v>
      </c>
      <c r="D661" t="str">
        <f>"Minusta tuli liikenainen eli valkoinen varis"</f>
        <v>Minusta tuli liikenainen eli valkoinen varis</v>
      </c>
      <c r="E661" t="str">
        <f t="shared" si="60"/>
        <v>viro</v>
      </c>
      <c r="F661" t="str">
        <f>""</f>
        <v/>
      </c>
      <c r="G661" t="str">
        <f>"  täiskasvanud"</f>
        <v xml:space="preserve">  täiskasvanud</v>
      </c>
      <c r="H661" t="str">
        <f t="shared" si="61"/>
        <v>2004</v>
      </c>
      <c r="I661" t="str">
        <f>"Minust sai ärinaine, ehk, Valge vares"</f>
        <v>Minust sai ärinaine, ehk, Valge vares</v>
      </c>
      <c r="J661" t="str">
        <f>"Mallene, Endel, Mallene, Meelik"</f>
        <v>Mallene, Endel, Mallene, Meelik</v>
      </c>
      <c r="K661" t="str">
        <f>"Eesti Raamat, Tallinn"</f>
        <v>Eesti Raamat, Tallinn</v>
      </c>
      <c r="L661" t="str">
        <f>""</f>
        <v/>
      </c>
      <c r="M661" t="str">
        <f>"9985-65-442-0"</f>
        <v>9985-65-442-0</v>
      </c>
    </row>
    <row r="662" spans="1:13" ht="15">
      <c r="A662" t="s">
        <v>572</v>
      </c>
      <c r="B662" t="str">
        <f>"7498"</f>
        <v>7498</v>
      </c>
      <c r="C662" t="str">
        <f>"1997"</f>
        <v>1997</v>
      </c>
      <c r="D662" t="str">
        <f>"Jüri Vilmsin kuolema : Viron varapääministerin teloitus Helsingissä 13.4.1918"</f>
        <v>Jüri Vilmsin kuolema : Viron varapääministerin teloitus Helsingissä 13.4.1918</v>
      </c>
      <c r="E662" t="str">
        <f t="shared" si="60"/>
        <v>viro</v>
      </c>
      <c r="F662" t="str">
        <f>""</f>
        <v/>
      </c>
      <c r="G662" t="str">
        <f>"  täiskasvanud"</f>
        <v xml:space="preserve">  täiskasvanud</v>
      </c>
      <c r="H662" t="str">
        <f t="shared" si="61"/>
        <v>2004</v>
      </c>
      <c r="I662" t="str">
        <f>"Jüri Vilmsi surm"</f>
        <v>Jüri Vilmsi surm</v>
      </c>
      <c r="J662" t="str">
        <f>"Bahovski, Erkki"</f>
        <v>Bahovski, Erkki</v>
      </c>
      <c r="K662" t="str">
        <f>"Tänapäev, Tallinn"</f>
        <v>Tänapäev, Tallinn</v>
      </c>
      <c r="L662" t="str">
        <f>""</f>
        <v/>
      </c>
      <c r="M662" t="str">
        <f>"9985-62-233-2"</f>
        <v>9985-62-233-2</v>
      </c>
    </row>
    <row r="663" spans="1:13" ht="15">
      <c r="A663" t="s">
        <v>572</v>
      </c>
      <c r="B663" t="str">
        <f>"7617"</f>
        <v>7617</v>
      </c>
      <c r="C663" t="str">
        <f>"2004"</f>
        <v>2004</v>
      </c>
      <c r="D663" t="str">
        <f>"Samaa sukua, eri maata: Viro ja Suomi - historiasta huomiseen"</f>
        <v>Samaa sukua, eri maata: Viro ja Suomi - historiasta huomiseen</v>
      </c>
      <c r="E663" t="str">
        <f t="shared" si="60"/>
        <v>viro</v>
      </c>
      <c r="F663" t="str">
        <f>""</f>
        <v/>
      </c>
      <c r="G663" t="str">
        <f>"  täiskasvanud"</f>
        <v xml:space="preserve">  täiskasvanud</v>
      </c>
      <c r="H663" t="str">
        <f t="shared" si="61"/>
        <v>2004</v>
      </c>
      <c r="I663" t="str">
        <f>"Ühe puu eri harud : Eesti ja Soome - eilsest tänasesse"</f>
        <v>Ühe puu eri harud : Eesti ja Soome - eilsest tänasesse</v>
      </c>
      <c r="J663" t="str">
        <f>"Raig, Kulle, Rannat, Ruta"</f>
        <v>Raig, Kulle, Rannat, Ruta</v>
      </c>
      <c r="K663" t="str">
        <f>"Taloustieto, Helsinki"</f>
        <v>Taloustieto, Helsinki</v>
      </c>
      <c r="L663" t="str">
        <f>""</f>
        <v/>
      </c>
      <c r="M663" t="str">
        <f>"951-628-406-X"</f>
        <v>951-628-406-X</v>
      </c>
    </row>
    <row r="664" spans="1:13" ht="15">
      <c r="A664" t="s">
        <v>73</v>
      </c>
      <c r="B664" t="str">
        <f>"16520"</f>
        <v>16520</v>
      </c>
      <c r="C664" t="str">
        <f>"2000"</f>
        <v>2000</v>
      </c>
      <c r="D664" t="str">
        <f>"Saat sen mistä luovut : elämän paradoksit"</f>
        <v>Saat sen mistä luovut : elämän paradoksit</v>
      </c>
      <c r="E664" t="str">
        <f t="shared" si="60"/>
        <v>viro</v>
      </c>
      <c r="F664" t="str">
        <f>""</f>
        <v/>
      </c>
      <c r="G664" t="str">
        <f>"  täiskasvanud"</f>
        <v xml:space="preserve">  täiskasvanud</v>
      </c>
      <c r="H664" t="str">
        <f aca="true" t="shared" si="62" ref="H664:H686">"2005"</f>
        <v>2005</v>
      </c>
      <c r="I664" t="str">
        <f>"Saad kõik, millest loobud"</f>
        <v>Saad kõik, millest loobud</v>
      </c>
      <c r="J664" t="str">
        <f>"Ild, Silja"</f>
        <v>Ild, Silja</v>
      </c>
      <c r="K664" t="str">
        <f>"Pilgrim, Tallinn"</f>
        <v>Pilgrim, Tallinn</v>
      </c>
      <c r="L664" t="str">
        <f>""</f>
        <v/>
      </c>
      <c r="M664" t="str">
        <f>"9789985956977"</f>
        <v>9789985956977</v>
      </c>
    </row>
    <row r="665" spans="1:13" ht="15">
      <c r="A665" t="s">
        <v>85</v>
      </c>
      <c r="B665" t="str">
        <f>"7647"</f>
        <v>7647</v>
      </c>
      <c r="C665" t="str">
        <f>"2002"</f>
        <v>2002</v>
      </c>
      <c r="D665" t="str">
        <f>"Juoksuhaudantie"</f>
        <v>Juoksuhaudantie</v>
      </c>
      <c r="E665" t="str">
        <f t="shared" si="60"/>
        <v>viro</v>
      </c>
      <c r="F665" t="str">
        <f>"romaanid; proosa"</f>
        <v>romaanid; proosa</v>
      </c>
      <c r="G665" t="str">
        <f>"  täiskasvanud"</f>
        <v xml:space="preserve">  täiskasvanud</v>
      </c>
      <c r="H665" t="str">
        <f t="shared" si="62"/>
        <v>2005</v>
      </c>
      <c r="I665" t="str">
        <f>"Kaitsekraavi tee"</f>
        <v>Kaitsekraavi tee</v>
      </c>
      <c r="J665" t="str">
        <f>"Vahter, Sille, Vahter, Tarmo"</f>
        <v>Vahter, Sille, Vahter, Tarmo</v>
      </c>
      <c r="K665" t="str">
        <f>"Tänapäev, Tallinn"</f>
        <v>Tänapäev, Tallinn</v>
      </c>
      <c r="L665" t="str">
        <f>""</f>
        <v/>
      </c>
      <c r="M665" t="str">
        <f>"9985-62-281-2"</f>
        <v>9985-62-281-2</v>
      </c>
    </row>
    <row r="666" spans="1:13" ht="15">
      <c r="A666" t="s">
        <v>89</v>
      </c>
      <c r="B666" t="str">
        <f>"7703"</f>
        <v>7703</v>
      </c>
      <c r="C666" t="str">
        <f>"1987"</f>
        <v>1987</v>
      </c>
      <c r="D666" t="str">
        <f>"Urpo ja Turpo"</f>
        <v>Urpo ja Turpo</v>
      </c>
      <c r="E666" t="str">
        <f t="shared" si="60"/>
        <v>viro</v>
      </c>
      <c r="F666" t="str">
        <f>"proosa"</f>
        <v>proosa</v>
      </c>
      <c r="G666" t="str">
        <f>" lapsed ja noored"</f>
        <v xml:space="preserve"> lapsed ja noored</v>
      </c>
      <c r="H666" t="str">
        <f t="shared" si="62"/>
        <v>2005</v>
      </c>
      <c r="I666" t="str">
        <f>"Urbo ja Turbo"</f>
        <v>Urbo ja Turbo</v>
      </c>
      <c r="J666" t="str">
        <f>"Ollisaar, Mare"</f>
        <v>Ollisaar, Mare</v>
      </c>
      <c r="K666" t="str">
        <f>"Varrak, Tallinn"</f>
        <v>Varrak, Tallinn</v>
      </c>
      <c r="L666" t="str">
        <f>""</f>
        <v/>
      </c>
      <c r="M666" t="str">
        <f>"9985-3-1021-7"</f>
        <v>9985-3-1021-7</v>
      </c>
    </row>
    <row r="667" spans="1:13" ht="15">
      <c r="A667" t="s">
        <v>114</v>
      </c>
      <c r="B667" t="str">
        <f>"7656"</f>
        <v>7656</v>
      </c>
      <c r="C667" t="str">
        <f>"1999"</f>
        <v>1999</v>
      </c>
      <c r="D667" t="str">
        <f>"20. vuosisadan tilinpäätös"</f>
        <v>20. vuosisadan tilinpäätös</v>
      </c>
      <c r="E667" t="str">
        <f t="shared" si="60"/>
        <v>viro</v>
      </c>
      <c r="F667" t="str">
        <f>""</f>
        <v/>
      </c>
      <c r="G667" t="str">
        <f>"  täiskasvanud"</f>
        <v xml:space="preserve">  täiskasvanud</v>
      </c>
      <c r="H667" t="str">
        <f t="shared" si="62"/>
        <v>2005</v>
      </c>
      <c r="I667" t="str">
        <f>"XX sajandi lõpparve"</f>
        <v>XX sajandi lõpparve</v>
      </c>
      <c r="J667" t="str">
        <f>"Berg, Maimu, Sang, Joel"</f>
        <v>Berg, Maimu, Sang, Joel</v>
      </c>
      <c r="K667" t="str">
        <f>"Vagabund, Tallinn"</f>
        <v>Vagabund, Tallinn</v>
      </c>
      <c r="L667" t="str">
        <f>""</f>
        <v/>
      </c>
      <c r="M667" t="str">
        <f>"9985-835-74-3"</f>
        <v>9985-835-74-3</v>
      </c>
    </row>
    <row r="668" spans="1:13" ht="15">
      <c r="A668" t="s">
        <v>114</v>
      </c>
      <c r="B668" t="str">
        <f>"8301"</f>
        <v>8301</v>
      </c>
      <c r="C668" t="str">
        <f>"2005"</f>
        <v>2005</v>
      </c>
      <c r="D668" t="str">
        <f>"Tulevaisuus?"</f>
        <v>Tulevaisuus?</v>
      </c>
      <c r="E668" t="str">
        <f t="shared" si="60"/>
        <v>viro</v>
      </c>
      <c r="F668" t="str">
        <f>""</f>
        <v/>
      </c>
      <c r="G668" t="str">
        <f>"  täiskasvanud"</f>
        <v xml:space="preserve">  täiskasvanud</v>
      </c>
      <c r="H668" t="str">
        <f t="shared" si="62"/>
        <v>2005</v>
      </c>
      <c r="I668" t="str">
        <f>"Tulevik?"</f>
        <v>Tulevik?</v>
      </c>
      <c r="J668" t="str">
        <f>"Bahovski, Erkki"</f>
        <v>Bahovski, Erkki</v>
      </c>
      <c r="K668" t="str">
        <f>"Tänapäev, Tallinn"</f>
        <v>Tänapäev, Tallinn</v>
      </c>
      <c r="L668" t="str">
        <f>""</f>
        <v/>
      </c>
      <c r="M668" t="str">
        <f>"9985-62-450-5"</f>
        <v>9985-62-450-5</v>
      </c>
    </row>
    <row r="669" spans="1:13" ht="15">
      <c r="A669" t="s">
        <v>117</v>
      </c>
      <c r="B669" t="str">
        <f>"7600"</f>
        <v>7600</v>
      </c>
      <c r="C669" t="str">
        <f>"1987"</f>
        <v>1987</v>
      </c>
      <c r="D669" t="str">
        <f>"Resa med lätt bagage : noveller"</f>
        <v>Resa med lätt bagage : noveller</v>
      </c>
      <c r="E669" t="str">
        <f t="shared" si="60"/>
        <v>viro</v>
      </c>
      <c r="F669" t="str">
        <f>"lühiproosa, proosa"</f>
        <v>lühiproosa, proosa</v>
      </c>
      <c r="G669" t="str">
        <f>"  täiskasvanud"</f>
        <v xml:space="preserve">  täiskasvanud</v>
      </c>
      <c r="H669" t="str">
        <f t="shared" si="62"/>
        <v>2005</v>
      </c>
      <c r="I669" t="str">
        <f>"Reis kerge pagasiga"</f>
        <v>Reis kerge pagasiga</v>
      </c>
      <c r="J669" t="str">
        <f>"Jesmin, Mari"</f>
        <v>Jesmin, Mari</v>
      </c>
      <c r="K669" t="str">
        <f>"Eesti Raamat, Tallinn"</f>
        <v>Eesti Raamat, Tallinn</v>
      </c>
      <c r="L669" t="str">
        <f>""</f>
        <v/>
      </c>
      <c r="M669" t="str">
        <f>"9985-65-482-X"</f>
        <v>9985-65-482-X</v>
      </c>
    </row>
    <row r="670" spans="1:13" ht="15">
      <c r="A670" t="s">
        <v>132</v>
      </c>
      <c r="B670" t="str">
        <f>"7608"</f>
        <v>7608</v>
      </c>
      <c r="C670" t="str">
        <f>"1941"</f>
        <v>1941</v>
      </c>
      <c r="D670" t="str">
        <f>"Kiirastuli"</f>
        <v>Kiirastuli</v>
      </c>
      <c r="E670" t="str">
        <f t="shared" si="60"/>
        <v>viro</v>
      </c>
      <c r="F670" t="str">
        <f>"luule, lüürika"</f>
        <v>luule, lüürika</v>
      </c>
      <c r="G670" t="str">
        <f>"  täiskasvanud"</f>
        <v xml:space="preserve">  täiskasvanud</v>
      </c>
      <c r="H670" t="str">
        <f t="shared" si="62"/>
        <v>2005</v>
      </c>
      <c r="I670" t="str">
        <f>"Puhastustuli"</f>
        <v>Puhastustuli</v>
      </c>
      <c r="J670" t="str">
        <f>"Pappel, Tiina"</f>
        <v>Pappel, Tiina</v>
      </c>
      <c r="K670" t="str">
        <f>"Huma, [Tallinn]"</f>
        <v>Huma, [Tallinn]</v>
      </c>
      <c r="L670" t="str">
        <f>""</f>
        <v/>
      </c>
      <c r="M670" t="str">
        <f>"9949-408-27-X"</f>
        <v>9949-408-27-X</v>
      </c>
    </row>
    <row r="671" spans="1:13" ht="15">
      <c r="A671" t="s">
        <v>169</v>
      </c>
      <c r="B671" t="str">
        <f>"9348"</f>
        <v>9348</v>
      </c>
      <c r="C671" t="str">
        <f>"1980"</f>
        <v>1980</v>
      </c>
      <c r="D671" t="str">
        <f>"Tamminiemi : toivon, että Suomen kansa on yksimielistä toimiessaan maansa hyväksi, itsenäisyyden turvaamiseksi ja rauhan varjelemiseksi"</f>
        <v>Tamminiemi : toivon, että Suomen kansa on yksimielistä toimiessaan maansa hyväksi, itsenäisyyden turvaamiseksi ja rauhan varjelemiseksi</v>
      </c>
      <c r="E671" t="str">
        <f aca="true" t="shared" si="63" ref="E671:E707">"viro"</f>
        <v>viro</v>
      </c>
      <c r="F671" t="str">
        <f>""</f>
        <v/>
      </c>
      <c r="G671" t="str">
        <f>"  täiskasvanud"</f>
        <v xml:space="preserve">  täiskasvanud</v>
      </c>
      <c r="H671" t="str">
        <f t="shared" si="62"/>
        <v>2005</v>
      </c>
      <c r="I671" t="str">
        <f>"Tamminiemi"</f>
        <v>Tamminiemi</v>
      </c>
      <c r="J671" t="str">
        <f>"Anupõld, Elle"</f>
        <v>Anupõld, Elle</v>
      </c>
      <c r="K671" t="str">
        <f>"Argo, Tallinn"</f>
        <v>Argo, Tallinn</v>
      </c>
      <c r="L671" t="str">
        <f>""</f>
        <v/>
      </c>
      <c r="M671" t="str">
        <f>"9949-415-39-X"</f>
        <v>9949-415-39-X</v>
      </c>
    </row>
    <row r="672" spans="1:13" ht="15">
      <c r="A672" t="s">
        <v>179</v>
      </c>
      <c r="B672" t="str">
        <f>"7695"</f>
        <v>7695</v>
      </c>
      <c r="C672" t="str">
        <f>"2002"</f>
        <v>2002</v>
      </c>
      <c r="D672" t="str">
        <f>"Valtiot ja liput"</f>
        <v>Valtiot ja liput</v>
      </c>
      <c r="E672" t="str">
        <f t="shared" si="63"/>
        <v>viro</v>
      </c>
      <c r="F672" t="str">
        <f>""</f>
        <v/>
      </c>
      <c r="G672" t="str">
        <f>"  täiskasvanud"</f>
        <v xml:space="preserve">  täiskasvanud</v>
      </c>
      <c r="H672" t="str">
        <f t="shared" si="62"/>
        <v>2005</v>
      </c>
      <c r="I672" t="str">
        <f>"A ja O taskuteatmik"</f>
        <v>A ja O taskuteatmik</v>
      </c>
      <c r="J672" t="str">
        <f>"Anupõld, Elle-Mall"</f>
        <v>Anupõld, Elle-Mall</v>
      </c>
      <c r="K672" t="str">
        <f>"Eesti Entsüklopeediakirjastus, Tallinn"</f>
        <v>Eesti Entsüklopeediakirjastus, Tallinn</v>
      </c>
      <c r="L672" t="str">
        <f>""</f>
        <v/>
      </c>
      <c r="M672" t="str">
        <f>"9985-70-200-x"</f>
        <v>9985-70-200-x</v>
      </c>
    </row>
    <row r="673" spans="1:13" ht="15">
      <c r="A673" t="s">
        <v>185</v>
      </c>
      <c r="B673" t="str">
        <f>"7649"</f>
        <v>7649</v>
      </c>
      <c r="C673" t="str">
        <f>"1870"</f>
        <v>1870</v>
      </c>
      <c r="D673" t="str">
        <f>"Seitsemän veljestä"</f>
        <v>Seitsemän veljestä</v>
      </c>
      <c r="E673" t="str">
        <f t="shared" si="63"/>
        <v>viro</v>
      </c>
      <c r="F673" t="str">
        <f>"romaanid; proosa"</f>
        <v>romaanid; proosa</v>
      </c>
      <c r="G673" t="str">
        <f>"  täiskasvanud"</f>
        <v xml:space="preserve">  täiskasvanud</v>
      </c>
      <c r="H673" t="str">
        <f t="shared" si="62"/>
        <v>2005</v>
      </c>
      <c r="I673" t="str">
        <f>"Seitse venda"</f>
        <v>Seitse venda</v>
      </c>
      <c r="J673" t="str">
        <f>"Lõhmus, Aivo"</f>
        <v>Lõhmus, Aivo</v>
      </c>
      <c r="K673" t="str">
        <f>"Eesti Raamat, Tallinn"</f>
        <v>Eesti Raamat, Tallinn</v>
      </c>
      <c r="L673" t="str">
        <f>""</f>
        <v/>
      </c>
      <c r="M673" t="str">
        <f>"9985-65-491-9"</f>
        <v>9985-65-491-9</v>
      </c>
    </row>
    <row r="674" spans="1:13" ht="15">
      <c r="A674" t="s">
        <v>217</v>
      </c>
      <c r="B674" t="str">
        <f>"7795"</f>
        <v>7795</v>
      </c>
      <c r="C674" t="str">
        <f>"1987"</f>
        <v>1987</v>
      </c>
      <c r="D674" t="str">
        <f>"12 lahjaa joulupukille"</f>
        <v>12 lahjaa joulupukille</v>
      </c>
      <c r="E674" t="str">
        <f t="shared" si="63"/>
        <v>viro</v>
      </c>
      <c r="F674" t="str">
        <f>"pildiraamatud"</f>
        <v>pildiraamatud</v>
      </c>
      <c r="G674" t="str">
        <f>" lapsed ja noored"</f>
        <v xml:space="preserve"> lapsed ja noored</v>
      </c>
      <c r="H674" t="str">
        <f t="shared" si="62"/>
        <v>2005</v>
      </c>
      <c r="I674" t="str">
        <f>"12 kinki jõulutaadile"</f>
        <v>12 kinki jõulutaadile</v>
      </c>
      <c r="J674" t="str">
        <f>"Ende, Üllar"</f>
        <v>Ende, Üllar</v>
      </c>
      <c r="K674" t="str">
        <f>"Sinisukk, Tallinn"</f>
        <v>Sinisukk, Tallinn</v>
      </c>
      <c r="L674" t="str">
        <f>""</f>
        <v/>
      </c>
      <c r="M674" t="str">
        <f>"9985-73-981-7"</f>
        <v>9985-73-981-7</v>
      </c>
    </row>
    <row r="675" spans="1:13" ht="15">
      <c r="A675" t="s">
        <v>243</v>
      </c>
      <c r="B675" t="str">
        <f>"7607"</f>
        <v>7607</v>
      </c>
      <c r="C675" t="str">
        <f>"2002"</f>
        <v>2002</v>
      </c>
      <c r="D675" t="str">
        <f>"Lumottu lipas"</f>
        <v>Lumottu lipas</v>
      </c>
      <c r="E675" t="str">
        <f t="shared" si="63"/>
        <v>viro</v>
      </c>
      <c r="F675" t="str">
        <f>"luule, lüürika"</f>
        <v>luule, lüürika</v>
      </c>
      <c r="G675" t="str">
        <f>" lapsed ja noored"</f>
        <v xml:space="preserve"> lapsed ja noored</v>
      </c>
      <c r="H675" t="str">
        <f t="shared" si="62"/>
        <v>2005</v>
      </c>
      <c r="I675" t="str">
        <f>"Loitsitud laegas"</f>
        <v>Loitsitud laegas</v>
      </c>
      <c r="J675" t="str">
        <f>"Tungal, Leelo"</f>
        <v>Tungal, Leelo</v>
      </c>
      <c r="K675" t="str">
        <f>"Huma, [Tallinn]"</f>
        <v>Huma, [Tallinn]</v>
      </c>
      <c r="L675" t="str">
        <f>""</f>
        <v/>
      </c>
      <c r="M675" t="str">
        <f>"9949-408-29-6"</f>
        <v>9949-408-29-6</v>
      </c>
    </row>
    <row r="676" spans="1:13" ht="15">
      <c r="A676" t="s">
        <v>248</v>
      </c>
      <c r="B676" t="str">
        <f>"7799"</f>
        <v>7799</v>
      </c>
      <c r="C676" t="str">
        <f>"1989"</f>
        <v>1989</v>
      </c>
      <c r="D676" t="str">
        <f>"Siivet varpaiden välissä"</f>
        <v>Siivet varpaiden välissä</v>
      </c>
      <c r="E676" t="str">
        <f t="shared" si="63"/>
        <v>viro</v>
      </c>
      <c r="F676" t="str">
        <f>"romaanid; proosa"</f>
        <v>romaanid; proosa</v>
      </c>
      <c r="G676" t="str">
        <f>" lapsed ja noored"</f>
        <v xml:space="preserve"> lapsed ja noored</v>
      </c>
      <c r="H676" t="str">
        <f t="shared" si="62"/>
        <v>2005</v>
      </c>
      <c r="I676" t="str">
        <f>"Tiivad varvaste vahel"</f>
        <v>Tiivad varvaste vahel</v>
      </c>
      <c r="J676" t="str">
        <f>"Liivak, Sander"</f>
        <v>Liivak, Sander</v>
      </c>
      <c r="K676" t="str">
        <f>"Eesti Ekspressi Kirjastus, Tallinn"</f>
        <v>Eesti Ekspressi Kirjastus, Tallinn</v>
      </c>
      <c r="L676" t="str">
        <f>""</f>
        <v/>
      </c>
      <c r="M676" t="str">
        <f>"9985-9625-3-2"</f>
        <v>9985-9625-3-2</v>
      </c>
    </row>
    <row r="677" spans="1:13" ht="15">
      <c r="A677" t="s">
        <v>290</v>
      </c>
      <c r="B677" t="str">
        <f>"17968"</f>
        <v>17968</v>
      </c>
      <c r="C677" t="str">
        <f>"1996"</f>
        <v>1996</v>
      </c>
      <c r="D677" t="str">
        <f>"Oppiva koulu ja itsearviointi"</f>
        <v>Oppiva koulu ja itsearviointi</v>
      </c>
      <c r="E677" t="str">
        <f t="shared" si="63"/>
        <v>viro</v>
      </c>
      <c r="F677" t="str">
        <f>""</f>
        <v/>
      </c>
      <c r="G677" t="str">
        <f>"  täiskasvanud"</f>
        <v xml:space="preserve">  täiskasvanud</v>
      </c>
      <c r="H677" t="str">
        <f t="shared" si="62"/>
        <v>2005</v>
      </c>
      <c r="I677" t="str">
        <f>"Õppiv kool ja enesehindamine"</f>
        <v>Õppiv kool ja enesehindamine</v>
      </c>
      <c r="J677" t="str">
        <f>"Jaanits, Kadri"</f>
        <v>Jaanits, Kadri</v>
      </c>
      <c r="K677" t="str">
        <f>"El Paradiso, Soinaste"</f>
        <v>El Paradiso, Soinaste</v>
      </c>
      <c r="L677" t="str">
        <f>""</f>
        <v/>
      </c>
      <c r="M677" t="str">
        <f>"9789985952979"</f>
        <v>9789985952979</v>
      </c>
    </row>
    <row r="678" spans="1:13" ht="15">
      <c r="A678" t="s">
        <v>323</v>
      </c>
      <c r="B678" t="str">
        <f>"7782"</f>
        <v>7782</v>
      </c>
      <c r="C678" t="str">
        <f>"2001"</f>
        <v>2001</v>
      </c>
      <c r="D678" t="str">
        <f>"Kolmastoista yö"</f>
        <v>Kolmastoista yö</v>
      </c>
      <c r="E678" t="str">
        <f t="shared" si="63"/>
        <v>viro</v>
      </c>
      <c r="F678" t="str">
        <f>"romaanid; proosa"</f>
        <v>romaanid; proosa</v>
      </c>
      <c r="G678" t="str">
        <f>"  täiskasvanud"</f>
        <v xml:space="preserve">  täiskasvanud</v>
      </c>
      <c r="H678" t="str">
        <f t="shared" si="62"/>
        <v>2005</v>
      </c>
      <c r="I678" t="str">
        <f>"Kolmeteistkümnes öö"</f>
        <v>Kolmeteistkümnes öö</v>
      </c>
      <c r="J678" t="str">
        <f>"Ringeveld, Katrin"</f>
        <v>Ringeveld, Katrin</v>
      </c>
      <c r="K678" t="str">
        <f>"Eesti Raamat, Tallinn"</f>
        <v>Eesti Raamat, Tallinn</v>
      </c>
      <c r="L678" t="str">
        <f>""</f>
        <v/>
      </c>
      <c r="M678" t="str">
        <f>"9985-65-505-2"</f>
        <v>9985-65-505-2</v>
      </c>
    </row>
    <row r="679" spans="1:13" ht="15">
      <c r="A679" t="s">
        <v>329</v>
      </c>
      <c r="B679" t="str">
        <f>"17968"</f>
        <v>17968</v>
      </c>
      <c r="C679" t="str">
        <f>"1996"</f>
        <v>1996</v>
      </c>
      <c r="D679" t="str">
        <f>"Oppiva koulu ja itsearviointi"</f>
        <v>Oppiva koulu ja itsearviointi</v>
      </c>
      <c r="E679" t="str">
        <f t="shared" si="63"/>
        <v>viro</v>
      </c>
      <c r="F679" t="str">
        <f>""</f>
        <v/>
      </c>
      <c r="G679" t="str">
        <f>"  täiskasvanud"</f>
        <v xml:space="preserve">  täiskasvanud</v>
      </c>
      <c r="H679" t="str">
        <f t="shared" si="62"/>
        <v>2005</v>
      </c>
      <c r="I679" t="str">
        <f>"Õppiv kool ja enesehindamine"</f>
        <v>Õppiv kool ja enesehindamine</v>
      </c>
      <c r="J679" t="str">
        <f>"Jaanits, Kadri"</f>
        <v>Jaanits, Kadri</v>
      </c>
      <c r="K679" t="str">
        <f>"El Paradiso, Soinaste"</f>
        <v>El Paradiso, Soinaste</v>
      </c>
      <c r="L679" t="str">
        <f>""</f>
        <v/>
      </c>
      <c r="M679" t="str">
        <f>"9789985952979"</f>
        <v>9789985952979</v>
      </c>
    </row>
    <row r="680" spans="1:13" ht="15">
      <c r="A680" t="s">
        <v>432</v>
      </c>
      <c r="B680" t="str">
        <f>"7702"</f>
        <v>7702</v>
      </c>
      <c r="C680" t="str">
        <f>"2004"</f>
        <v>2004</v>
      </c>
      <c r="D680" t="str">
        <f>"Itämeren merirosvot"</f>
        <v>Itämeren merirosvot</v>
      </c>
      <c r="E680" t="str">
        <f t="shared" si="63"/>
        <v>viro</v>
      </c>
      <c r="F680" t="str">
        <f>""</f>
        <v/>
      </c>
      <c r="G680" t="str">
        <f>"  täiskasvanud"</f>
        <v xml:space="preserve">  täiskasvanud</v>
      </c>
      <c r="H680" t="str">
        <f t="shared" si="62"/>
        <v>2005</v>
      </c>
      <c r="I680" t="str">
        <f>"Läänemere mereröövlid"</f>
        <v>Läänemere mereröövlid</v>
      </c>
      <c r="J680" t="str">
        <f>"Saluri, Piret"</f>
        <v>Saluri, Piret</v>
      </c>
      <c r="K680" t="str">
        <f>"Tänapäev, Tallinn"</f>
        <v>Tänapäev, Tallinn</v>
      </c>
      <c r="L680" t="str">
        <f>""</f>
        <v/>
      </c>
      <c r="M680" t="str">
        <f>"9985-62-320-7"</f>
        <v>9985-62-320-7</v>
      </c>
    </row>
    <row r="681" spans="1:13" ht="15">
      <c r="A681" t="s">
        <v>459</v>
      </c>
      <c r="B681" t="str">
        <f>"14958"</f>
        <v>14958</v>
      </c>
      <c r="C681" t="str">
        <f>"2000"</f>
        <v>2000</v>
      </c>
      <c r="D681" t="str">
        <f>"Renessanssin nainen"</f>
        <v>Renessanssin nainen</v>
      </c>
      <c r="E681" t="str">
        <f t="shared" si="63"/>
        <v>viro</v>
      </c>
      <c r="F681" t="str">
        <f>""</f>
        <v/>
      </c>
      <c r="G681" t="str">
        <f>"  täiskasvanud"</f>
        <v xml:space="preserve">  täiskasvanud</v>
      </c>
      <c r="H681" t="str">
        <f t="shared" si="62"/>
        <v>2005</v>
      </c>
      <c r="I681" t="str">
        <f>"Renessansiaja naine"</f>
        <v>Renessansiaja naine</v>
      </c>
      <c r="J681" t="str">
        <f>"Berg, Maimu"</f>
        <v>Berg, Maimu</v>
      </c>
      <c r="K681" t="str">
        <f>"Huma, [Tallinn]"</f>
        <v>Huma, [Tallinn]</v>
      </c>
      <c r="L681" t="str">
        <f>""</f>
        <v/>
      </c>
      <c r="M681" t="str">
        <f>"9949408008"</f>
        <v>9949408008</v>
      </c>
    </row>
    <row r="682" spans="1:13" ht="15">
      <c r="A682" t="s">
        <v>492</v>
      </c>
      <c r="B682" t="str">
        <f>"7845"</f>
        <v>7845</v>
      </c>
      <c r="C682" t="str">
        <f>"1989"</f>
        <v>1989</v>
      </c>
      <c r="D682" t="str">
        <f>"Gastronomian historia"</f>
        <v>Gastronomian historia</v>
      </c>
      <c r="E682" t="str">
        <f t="shared" si="63"/>
        <v>viro</v>
      </c>
      <c r="F682" t="str">
        <f>""</f>
        <v/>
      </c>
      <c r="G682" t="str">
        <f>"  täiskasvanud"</f>
        <v xml:space="preserve">  täiskasvanud</v>
      </c>
      <c r="H682" t="str">
        <f t="shared" si="62"/>
        <v>2005</v>
      </c>
      <c r="I682" t="str">
        <f>"Gastronoomia ajalugu"</f>
        <v>Gastronoomia ajalugu</v>
      </c>
      <c r="J682" t="str">
        <f>"Saluri, Piret"</f>
        <v>Saluri, Piret</v>
      </c>
      <c r="K682" t="str">
        <f>"Varrak, Tallinn"</f>
        <v>Varrak, Tallinn</v>
      </c>
      <c r="L682" t="str">
        <f>""</f>
        <v/>
      </c>
      <c r="M682" t="str">
        <f>"9985-3-1118-3"</f>
        <v>9985-3-1118-3</v>
      </c>
    </row>
    <row r="683" spans="1:13" ht="15">
      <c r="A683" t="s">
        <v>508</v>
      </c>
      <c r="B683" t="str">
        <f>"7669"</f>
        <v>7669</v>
      </c>
      <c r="C683" t="str">
        <f>"1958"</f>
        <v>1958</v>
      </c>
      <c r="D683" t="str">
        <f>"Tuntemani Eino Leino"</f>
        <v>Tuntemani Eino Leino</v>
      </c>
      <c r="E683" t="str">
        <f t="shared" si="63"/>
        <v>viro</v>
      </c>
      <c r="F683" t="str">
        <f>""</f>
        <v/>
      </c>
      <c r="G683" t="str">
        <f>"  täiskasvanud"</f>
        <v xml:space="preserve">  täiskasvanud</v>
      </c>
      <c r="H683" t="str">
        <f t="shared" si="62"/>
        <v>2005</v>
      </c>
      <c r="I683" t="str">
        <f>"Minu mälestuste Eino Leino"</f>
        <v>Minu mälestuste Eino Leino</v>
      </c>
      <c r="J683" t="str">
        <f>"Kaaber, Ene, Maasik, Mari"</f>
        <v>Kaaber, Ene, Maasik, Mari</v>
      </c>
      <c r="K683" t="str">
        <f>"Ilo, Tallinn"</f>
        <v>Ilo, Tallinn</v>
      </c>
      <c r="L683" t="str">
        <f>""</f>
        <v/>
      </c>
      <c r="M683" t="str">
        <f>"9985-57-685-3"</f>
        <v>9985-57-685-3</v>
      </c>
    </row>
    <row r="684" spans="1:13" ht="15">
      <c r="A684" t="s">
        <v>560</v>
      </c>
      <c r="B684" t="str">
        <f>"8123"</f>
        <v>8123</v>
      </c>
      <c r="C684" t="str">
        <f>"2002"</f>
        <v>2002</v>
      </c>
      <c r="D684" t="str">
        <f>"Tolppa-apina"</f>
        <v>Tolppa-apina</v>
      </c>
      <c r="E684" t="str">
        <f t="shared" si="63"/>
        <v>viro</v>
      </c>
      <c r="F684" t="str">
        <f>"romaanid; proosa"</f>
        <v>romaanid; proosa</v>
      </c>
      <c r="G684" t="str">
        <f>"  täiskasvanud"</f>
        <v xml:space="preserve">  täiskasvanud</v>
      </c>
      <c r="H684" t="str">
        <f t="shared" si="62"/>
        <v>2005</v>
      </c>
      <c r="I684" t="str">
        <f>"Joomahullu päevaraamat"</f>
        <v>Joomahullu päevaraamat</v>
      </c>
      <c r="J684" t="str">
        <f>"Mõisnik, Mihkel"</f>
        <v>Mõisnik, Mihkel</v>
      </c>
      <c r="K684" t="str">
        <f>"Hotger, Tallinn"</f>
        <v>Hotger, Tallinn</v>
      </c>
      <c r="L684" t="str">
        <f>""</f>
        <v/>
      </c>
      <c r="M684" t="str">
        <f>"9985-9632-3-7"</f>
        <v>9985-9632-3-7</v>
      </c>
    </row>
    <row r="685" spans="1:13" ht="15">
      <c r="A685" t="s">
        <v>563</v>
      </c>
      <c r="B685" t="str">
        <f>"6776"</f>
        <v>6776</v>
      </c>
      <c r="C685" t="str">
        <f>"1928"</f>
        <v>1928</v>
      </c>
      <c r="D685" t="str">
        <f>"Suuri illusioni"</f>
        <v>Suuri illusioni</v>
      </c>
      <c r="E685" t="str">
        <f t="shared" si="63"/>
        <v>viro</v>
      </c>
      <c r="F685" t="str">
        <f>"romaanid; proosa"</f>
        <v>romaanid; proosa</v>
      </c>
      <c r="G685" t="str">
        <f>"  täiskasvanud"</f>
        <v xml:space="preserve">  täiskasvanud</v>
      </c>
      <c r="H685" t="str">
        <f t="shared" si="62"/>
        <v>2005</v>
      </c>
      <c r="I685" t="str">
        <f>"Suur illusioon"</f>
        <v>Suur illusioon</v>
      </c>
      <c r="J685" t="str">
        <f>"Saluri, Piret"</f>
        <v>Saluri, Piret</v>
      </c>
      <c r="K685" t="str">
        <f>"Varrak, Tallinn"</f>
        <v>Varrak, Tallinn</v>
      </c>
      <c r="L685" t="str">
        <f>""</f>
        <v/>
      </c>
      <c r="M685" t="str">
        <f>"9985-3-1003-9"</f>
        <v>9985-3-1003-9</v>
      </c>
    </row>
    <row r="686" spans="1:13" ht="15">
      <c r="A686" t="s">
        <v>565</v>
      </c>
      <c r="B686" t="str">
        <f>"14959"</f>
        <v>14959</v>
      </c>
      <c r="C686" t="str">
        <f>"2002"</f>
        <v>2002</v>
      </c>
      <c r="D686" t="str">
        <f>"Eurooppalaisten juuret"</f>
        <v>Eurooppalaisten juuret</v>
      </c>
      <c r="E686" t="str">
        <f t="shared" si="63"/>
        <v>viro</v>
      </c>
      <c r="F686" t="str">
        <f>""</f>
        <v/>
      </c>
      <c r="G686" t="str">
        <f>"  täiskasvanud"</f>
        <v xml:space="preserve">  täiskasvanud</v>
      </c>
      <c r="H686" t="str">
        <f t="shared" si="62"/>
        <v>2005</v>
      </c>
      <c r="I686" t="str">
        <f>"Eurooplaste juured"</f>
        <v>Eurooplaste juured</v>
      </c>
      <c r="J686" t="str">
        <f>"Metsmägi, Iris"</f>
        <v>Metsmägi, Iris</v>
      </c>
      <c r="K686" t="str">
        <f>"Ilmamaa, Tartu"</f>
        <v>Ilmamaa, Tartu</v>
      </c>
      <c r="L686" t="str">
        <f>""</f>
        <v/>
      </c>
      <c r="M686" t="str">
        <f>"9789985771013"</f>
        <v>9789985771013</v>
      </c>
    </row>
    <row r="687" spans="1:13" ht="15">
      <c r="A687" t="s">
        <v>5</v>
      </c>
      <c r="B687" t="str">
        <f>"12146"</f>
        <v>12146</v>
      </c>
      <c r="C687" t="str">
        <f>"1956"</f>
        <v>1956</v>
      </c>
      <c r="D687" t="str">
        <f>"Koko kaupungin Vinski. Vinski ja Vinsentti"</f>
        <v>Koko kaupungin Vinski. Vinski ja Vinsentti</v>
      </c>
      <c r="E687" t="str">
        <f t="shared" si="63"/>
        <v>viro</v>
      </c>
      <c r="F687" t="str">
        <f>"romaanid; proosa"</f>
        <v>romaanid; proosa</v>
      </c>
      <c r="G687" t="str">
        <f>" lapsed ja noored"</f>
        <v xml:space="preserve"> lapsed ja noored</v>
      </c>
      <c r="H687" t="str">
        <f aca="true" t="shared" si="64" ref="H687:H711">"2006"</f>
        <v>2006</v>
      </c>
      <c r="I687" t="str">
        <f>"Vinski lood"</f>
        <v>Vinski lood</v>
      </c>
      <c r="J687" t="str">
        <f>"Künnap, Välja"</f>
        <v>Künnap, Välja</v>
      </c>
      <c r="K687" t="str">
        <f>"Hotger, Tallinn"</f>
        <v>Hotger, Tallinn</v>
      </c>
      <c r="L687" t="str">
        <f>""</f>
        <v/>
      </c>
      <c r="M687" t="str">
        <f>"9789985963265"</f>
        <v>9789985963265</v>
      </c>
    </row>
    <row r="688" spans="1:13" ht="15">
      <c r="A688" t="s">
        <v>17</v>
      </c>
      <c r="B688" t="str">
        <f>"8509"</f>
        <v>8509</v>
      </c>
      <c r="C688" t="str">
        <f>"1989"</f>
        <v>1989</v>
      </c>
      <c r="D688" t="str">
        <f>"Som lyser mellan gallren"</f>
        <v>Som lyser mellan gallren</v>
      </c>
      <c r="E688" t="str">
        <f t="shared" si="63"/>
        <v>viro</v>
      </c>
      <c r="F688" t="str">
        <f>"luule, lüürika"</f>
        <v>luule, lüürika</v>
      </c>
      <c r="G688" t="str">
        <f>"  täiskasvanud"</f>
        <v xml:space="preserve">  täiskasvanud</v>
      </c>
      <c r="H688" t="str">
        <f t="shared" si="64"/>
        <v>2006</v>
      </c>
      <c r="I688" t="str">
        <f>"Külm on, tuli lahti"</f>
        <v>Külm on, tuli lahti</v>
      </c>
      <c r="J688" t="str">
        <f>"Sirkel, Mati"</f>
        <v>Sirkel, Mati</v>
      </c>
      <c r="K688" t="str">
        <f>"Eesti Keele Sihtasutus, Tallinn"</f>
        <v>Eesti Keele Sihtasutus, Tallinn</v>
      </c>
      <c r="L688" t="str">
        <f>""</f>
        <v/>
      </c>
      <c r="M688" t="str">
        <f>"9985-79-136-3"</f>
        <v>9985-79-136-3</v>
      </c>
    </row>
    <row r="689" spans="1:13" ht="15">
      <c r="A689" t="s">
        <v>21</v>
      </c>
      <c r="B689" t="str">
        <f>"8565"</f>
        <v>8565</v>
      </c>
      <c r="C689" t="str">
        <f>"2003"</f>
        <v>2003</v>
      </c>
      <c r="D689" t="str">
        <f>"Sov nu, Vesta-Linnéa!"</f>
        <v>Sov nu, Vesta-Linnéa!</v>
      </c>
      <c r="E689" t="str">
        <f t="shared" si="63"/>
        <v>viro</v>
      </c>
      <c r="F689" t="str">
        <f>"pildiraamatud; proosa"</f>
        <v>pildiraamatud; proosa</v>
      </c>
      <c r="G689" t="str">
        <f>" lapsed ja noored"</f>
        <v xml:space="preserve"> lapsed ja noored</v>
      </c>
      <c r="H689" t="str">
        <f t="shared" si="64"/>
        <v>2006</v>
      </c>
      <c r="I689" t="str">
        <f>"Vesta-Linne kohe voodisse!"</f>
        <v>Vesta-Linne kohe voodisse!</v>
      </c>
      <c r="J689" t="str">
        <f>"Arnover, Tõnis"</f>
        <v>Arnover, Tõnis</v>
      </c>
      <c r="K689" t="str">
        <f>"Tea, Tallinn"</f>
        <v>Tea, Tallinn</v>
      </c>
      <c r="L689" t="str">
        <f>""</f>
        <v/>
      </c>
      <c r="M689" t="str">
        <f>"9985-71-508-X"</f>
        <v>9985-71-508-X</v>
      </c>
    </row>
    <row r="690" spans="1:13" ht="15">
      <c r="A690" t="s">
        <v>21</v>
      </c>
      <c r="B690" t="str">
        <f>"8568"</f>
        <v>8568</v>
      </c>
      <c r="C690" t="str">
        <f>"2005"</f>
        <v>2005</v>
      </c>
      <c r="D690" t="str">
        <f>"Vesta-Linnéa och gosnosen"</f>
        <v>Vesta-Linnéa och gosnosen</v>
      </c>
      <c r="E690" t="str">
        <f t="shared" si="63"/>
        <v>viro</v>
      </c>
      <c r="F690" t="str">
        <f>"pildiraamatud; proosa"</f>
        <v>pildiraamatud; proosa</v>
      </c>
      <c r="G690" t="str">
        <f>" lapsed ja noored"</f>
        <v xml:space="preserve"> lapsed ja noored</v>
      </c>
      <c r="H690" t="str">
        <f t="shared" si="64"/>
        <v>2006</v>
      </c>
      <c r="I690" t="str">
        <f>"Vesta-Linne ja Nuusu"</f>
        <v>Vesta-Linne ja Nuusu</v>
      </c>
      <c r="J690" t="str">
        <f>"Arnover, Tõnis"</f>
        <v>Arnover, Tõnis</v>
      </c>
      <c r="K690" t="str">
        <f>"Tea, Tallinn"</f>
        <v>Tea, Tallinn</v>
      </c>
      <c r="L690" t="str">
        <f>""</f>
        <v/>
      </c>
      <c r="M690" t="str">
        <f>"9985-71-521-7"</f>
        <v>9985-71-521-7</v>
      </c>
    </row>
    <row r="691" spans="1:13" ht="15">
      <c r="A691" t="s">
        <v>21</v>
      </c>
      <c r="B691" t="str">
        <f>"8566"</f>
        <v>8566</v>
      </c>
      <c r="C691" t="str">
        <f>"2001"</f>
        <v>2001</v>
      </c>
      <c r="D691" t="str">
        <f>"Vesta-Linnéa och monstermamman"</f>
        <v>Vesta-Linnéa och monstermamman</v>
      </c>
      <c r="E691" t="str">
        <f t="shared" si="63"/>
        <v>viro</v>
      </c>
      <c r="F691" t="str">
        <f>"pildiraamatud; proosa"</f>
        <v>pildiraamatud; proosa</v>
      </c>
      <c r="G691" t="str">
        <f>" lapsed ja noored"</f>
        <v xml:space="preserve"> lapsed ja noored</v>
      </c>
      <c r="H691" t="str">
        <f t="shared" si="64"/>
        <v>2006</v>
      </c>
      <c r="I691" t="str">
        <f>"Vesta-Linne ja hirmus emme"</f>
        <v>Vesta-Linne ja hirmus emme</v>
      </c>
      <c r="J691" t="str">
        <f>"Arnover, Tõnis"</f>
        <v>Arnover, Tõnis</v>
      </c>
      <c r="K691" t="str">
        <f>"Tea, Tallinn"</f>
        <v>Tea, Tallinn</v>
      </c>
      <c r="L691" t="str">
        <f>""</f>
        <v/>
      </c>
      <c r="M691" t="str">
        <f>"9985-71-506-3"</f>
        <v>9985-71-506-3</v>
      </c>
    </row>
    <row r="692" spans="1:13" ht="15">
      <c r="A692" t="s">
        <v>89</v>
      </c>
      <c r="B692" t="str">
        <f>"8916"</f>
        <v>8916</v>
      </c>
      <c r="C692" t="str">
        <f>"1991"</f>
        <v>1991</v>
      </c>
      <c r="D692" t="str">
        <f>"Urpo, Turpo ja Ihanaa"</f>
        <v>Urpo, Turpo ja Ihanaa</v>
      </c>
      <c r="E692" t="str">
        <f t="shared" si="63"/>
        <v>viro</v>
      </c>
      <c r="F692" t="str">
        <f>"proosa"</f>
        <v>proosa</v>
      </c>
      <c r="G692" t="str">
        <f>" lapsed ja noored"</f>
        <v xml:space="preserve"> lapsed ja noored</v>
      </c>
      <c r="H692" t="str">
        <f t="shared" si="64"/>
        <v>2006</v>
      </c>
      <c r="I692" t="str">
        <f>"Urbo, Turbo ja Ihvahvaa"</f>
        <v>Urbo, Turbo ja Ihvahvaa</v>
      </c>
      <c r="J692" t="str">
        <f>"Ollisaar, Mare"</f>
        <v>Ollisaar, Mare</v>
      </c>
      <c r="K692" t="str">
        <f>"Varrak, Tallinn"</f>
        <v>Varrak, Tallinn</v>
      </c>
      <c r="L692" t="str">
        <f>""</f>
        <v/>
      </c>
      <c r="M692" t="str">
        <f>"9985-3-1197-3"</f>
        <v>9985-3-1197-3</v>
      </c>
    </row>
    <row r="693" spans="1:13" ht="15">
      <c r="A693" t="s">
        <v>98</v>
      </c>
      <c r="B693" t="str">
        <f>"9340"</f>
        <v>9340</v>
      </c>
      <c r="C693" t="str">
        <f>"2000"</f>
        <v>2000</v>
      </c>
      <c r="D693" t="str">
        <f>"Suomen mies : Urho Kekkosen elämä"</f>
        <v>Suomen mies : Urho Kekkosen elämä</v>
      </c>
      <c r="E693" t="str">
        <f t="shared" si="63"/>
        <v>viro</v>
      </c>
      <c r="F693" t="str">
        <f>""</f>
        <v/>
      </c>
      <c r="G693" t="str">
        <f>"  täiskasvanud"</f>
        <v xml:space="preserve">  täiskasvanud</v>
      </c>
      <c r="H693" t="str">
        <f t="shared" si="64"/>
        <v>2006</v>
      </c>
      <c r="I693" t="str">
        <f>"Soome mees : Urho Kekkose elu"</f>
        <v>Soome mees : Urho Kekkose elu</v>
      </c>
      <c r="J693" t="str">
        <f>"Vahter, Tauno"</f>
        <v>Vahter, Tauno</v>
      </c>
      <c r="K693" t="str">
        <f>"Tänapäev, Tallinn"</f>
        <v>Tänapäev, Tallinn</v>
      </c>
      <c r="L693" t="str">
        <f>""</f>
        <v/>
      </c>
      <c r="M693" t="str">
        <f>"9985-62-386-X"</f>
        <v>9985-62-386-X</v>
      </c>
    </row>
    <row r="694" spans="1:13" ht="15">
      <c r="A694" t="s">
        <v>162</v>
      </c>
      <c r="B694" t="str">
        <f>"8059"</f>
        <v>8059</v>
      </c>
      <c r="C694" t="str">
        <f>"2001"</f>
        <v>2001</v>
      </c>
      <c r="D694" t="str">
        <f>"Laituri matkalla mereen"</f>
        <v>Laituri matkalla mereen</v>
      </c>
      <c r="E694" t="str">
        <f t="shared" si="63"/>
        <v>viro</v>
      </c>
      <c r="F694" t="str">
        <f>"romaanid; proosa"</f>
        <v>romaanid; proosa</v>
      </c>
      <c r="G694" t="str">
        <f>"  täiskasvanud"</f>
        <v xml:space="preserve">  täiskasvanud</v>
      </c>
      <c r="H694" t="str">
        <f t="shared" si="64"/>
        <v>2006</v>
      </c>
      <c r="I694" t="str">
        <f>"Paadisild triivib merele"</f>
        <v>Paadisild triivib merele</v>
      </c>
      <c r="J694" t="str">
        <f>"Kurg, Kalle"</f>
        <v>Kurg, Kalle</v>
      </c>
      <c r="K694" t="str">
        <f>"Eesti Raamat, Tallinn"</f>
        <v>Eesti Raamat, Tallinn</v>
      </c>
      <c r="L694" t="str">
        <f>""</f>
        <v/>
      </c>
      <c r="M694" t="str">
        <f>"978-9985-65-552-8"</f>
        <v>978-9985-65-552-8</v>
      </c>
    </row>
    <row r="695" spans="1:13" ht="15">
      <c r="A695" t="s">
        <v>236</v>
      </c>
      <c r="B695" t="str">
        <f>"8921"</f>
        <v>8921</v>
      </c>
      <c r="C695" t="str">
        <f>"2003"</f>
        <v>2003</v>
      </c>
      <c r="D695" t="str">
        <f>"Käsky"</f>
        <v>Käsky</v>
      </c>
      <c r="E695" t="str">
        <f t="shared" si="63"/>
        <v>viro</v>
      </c>
      <c r="F695" t="str">
        <f>"romaanid; proosa"</f>
        <v>romaanid; proosa</v>
      </c>
      <c r="G695" t="str">
        <f>"  täiskasvanud"</f>
        <v xml:space="preserve">  täiskasvanud</v>
      </c>
      <c r="H695" t="str">
        <f t="shared" si="64"/>
        <v>2006</v>
      </c>
      <c r="I695" t="str">
        <f>"Käsk"</f>
        <v>Käsk</v>
      </c>
      <c r="J695" t="str">
        <f>"Tarum, Ülle"</f>
        <v>Tarum, Ülle</v>
      </c>
      <c r="K695" t="str">
        <f>"Pegasus, Tallinn"</f>
        <v>Pegasus, Tallinn</v>
      </c>
      <c r="L695" t="str">
        <f>""</f>
        <v/>
      </c>
      <c r="M695" t="str">
        <f>"9949-425-09-3"</f>
        <v>9949-425-09-3</v>
      </c>
    </row>
    <row r="696" spans="1:13" ht="15">
      <c r="A696" t="s">
        <v>249</v>
      </c>
      <c r="B696" t="str">
        <f>"7951"</f>
        <v>7951</v>
      </c>
      <c r="C696" t="str">
        <f>"2006"</f>
        <v>2006</v>
      </c>
      <c r="D696" t="str">
        <f>""</f>
        <v/>
      </c>
      <c r="E696" t="str">
        <f t="shared" si="63"/>
        <v>viro</v>
      </c>
      <c r="F696" t="str">
        <f>"lühiproosa; põnevus- ja krimikirjandus; proosa"</f>
        <v>lühiproosa; põnevus- ja krimikirjandus; proosa</v>
      </c>
      <c r="G696" t="str">
        <f>"  täiskasvanud"</f>
        <v xml:space="preserve">  täiskasvanud</v>
      </c>
      <c r="H696" t="str">
        <f t="shared" si="64"/>
        <v>2006</v>
      </c>
      <c r="I696" t="str">
        <f>"Varastatud elu"</f>
        <v>Varastatud elu</v>
      </c>
      <c r="J696" t="str">
        <f>"Raud, Annus"</f>
        <v>Raud, Annus</v>
      </c>
      <c r="K696" t="str">
        <f>"Odamees, Tallinn"</f>
        <v>Odamees, Tallinn</v>
      </c>
      <c r="L696" t="str">
        <f>""</f>
        <v/>
      </c>
      <c r="M696" t="str">
        <f>"9949-419-87-5"</f>
        <v>9949-419-87-5</v>
      </c>
    </row>
    <row r="697" spans="1:13" ht="15">
      <c r="A697" t="s">
        <v>249</v>
      </c>
      <c r="B697" t="str">
        <f>"7952"</f>
        <v>7952</v>
      </c>
      <c r="C697" t="str">
        <f>"2002"</f>
        <v>2002</v>
      </c>
      <c r="D697" t="str">
        <f>"Kun luulit unohtaneesi"</f>
        <v>Kun luulit unohtaneesi</v>
      </c>
      <c r="E697" t="str">
        <f t="shared" si="63"/>
        <v>viro</v>
      </c>
      <c r="F697" t="str">
        <f>"romaanid; proosa"</f>
        <v>romaanid; proosa</v>
      </c>
      <c r="G697" t="str">
        <f>"  täiskasvanud"</f>
        <v xml:space="preserve">  täiskasvanud</v>
      </c>
      <c r="H697" t="str">
        <f t="shared" si="64"/>
        <v>2006</v>
      </c>
      <c r="I697" t="str">
        <f>"Uskusid juba - on meelest läinud"</f>
        <v>Uskusid juba - on meelest läinud</v>
      </c>
      <c r="J697" t="str">
        <f>"Kütt, Anne"</f>
        <v>Kütt, Anne</v>
      </c>
      <c r="K697" t="str">
        <f>"Eesti Keele Sihtasutus, Tallinn"</f>
        <v>Eesti Keele Sihtasutus, Tallinn</v>
      </c>
      <c r="L697" t="str">
        <f>""</f>
        <v/>
      </c>
      <c r="M697" t="str">
        <f>"9985-79-148-7"</f>
        <v>9985-79-148-7</v>
      </c>
    </row>
    <row r="698" spans="1:13" ht="15">
      <c r="A698" t="s">
        <v>272</v>
      </c>
      <c r="B698" t="str">
        <f>"7872"</f>
        <v>7872</v>
      </c>
      <c r="C698" t="str">
        <f>"2000"</f>
        <v>2000</v>
      </c>
      <c r="D698" t="str">
        <f>"Sotaromaani : Tuntemattoman sotilaan käsikirjoitus"</f>
        <v>Sotaromaani : Tuntemattoman sotilaan käsikirjoitus</v>
      </c>
      <c r="E698" t="str">
        <f t="shared" si="63"/>
        <v>viro</v>
      </c>
      <c r="F698" t="str">
        <f>"romaanid; proosa"</f>
        <v>romaanid; proosa</v>
      </c>
      <c r="G698" t="str">
        <f>"  täiskasvanud"</f>
        <v xml:space="preserve">  täiskasvanud</v>
      </c>
      <c r="H698" t="str">
        <f t="shared" si="64"/>
        <v>2006</v>
      </c>
      <c r="I698" t="str">
        <f>"Sõjaromaan"</f>
        <v>Sõjaromaan</v>
      </c>
      <c r="J698" t="str">
        <f>"Mallene, Endel, Mallene, Meelik"</f>
        <v>Mallene, Endel, Mallene, Meelik</v>
      </c>
      <c r="K698" t="str">
        <f>"Eesti Päevalehe kirjastus, Tallinn"</f>
        <v>Eesti Päevalehe kirjastus, Tallinn</v>
      </c>
      <c r="L698" t="str">
        <f>""</f>
        <v/>
      </c>
      <c r="M698" t="str">
        <f>"9985-849-33-7"</f>
        <v>9985-849-33-7</v>
      </c>
    </row>
    <row r="699" spans="1:13" ht="15">
      <c r="A699" t="s">
        <v>323</v>
      </c>
      <c r="B699" t="str">
        <f>"14957"</f>
        <v>14957</v>
      </c>
      <c r="C699" t="str">
        <f>"1999"</f>
        <v>1999</v>
      </c>
      <c r="D699" t="str">
        <f>"Keltainen leski"</f>
        <v>Keltainen leski</v>
      </c>
      <c r="E699" t="str">
        <f t="shared" si="63"/>
        <v>viro</v>
      </c>
      <c r="F699" t="str">
        <f>"romaanid; põnevus- ja krimikirjandus; proosa"</f>
        <v>romaanid; põnevus- ja krimikirjandus; proosa</v>
      </c>
      <c r="G699" t="str">
        <f>"  täiskasvanud"</f>
        <v xml:space="preserve">  täiskasvanud</v>
      </c>
      <c r="H699" t="str">
        <f t="shared" si="64"/>
        <v>2006</v>
      </c>
      <c r="I699" t="str">
        <f>"Kollane lesk"</f>
        <v>Kollane lesk</v>
      </c>
      <c r="J699" t="str">
        <f>"Ringeveld, Katrin"</f>
        <v>Ringeveld, Katrin</v>
      </c>
      <c r="K699" t="str">
        <f>"Eesti Raamat, Tallinn"</f>
        <v>Eesti Raamat, Tallinn</v>
      </c>
      <c r="L699" t="str">
        <f>""</f>
        <v/>
      </c>
      <c r="M699" t="str">
        <f>"9789985655740"</f>
        <v>9789985655740</v>
      </c>
    </row>
    <row r="700" spans="1:13" ht="15">
      <c r="A700" t="s">
        <v>330</v>
      </c>
      <c r="B700" t="str">
        <f>"8745"</f>
        <v>8745</v>
      </c>
      <c r="C700" t="str">
        <f>"1989"</f>
        <v>1989</v>
      </c>
      <c r="D700" t="str">
        <f>"Heinähattu ja  Vilttitossu"</f>
        <v>Heinähattu ja  Vilttitossu</v>
      </c>
      <c r="E700" t="str">
        <f t="shared" si="63"/>
        <v>viro</v>
      </c>
      <c r="F700" t="str">
        <f>"proosa"</f>
        <v>proosa</v>
      </c>
      <c r="G700" t="str">
        <f>" lapsed ja noored"</f>
        <v xml:space="preserve"> lapsed ja noored</v>
      </c>
      <c r="H700" t="str">
        <f t="shared" si="64"/>
        <v>2006</v>
      </c>
      <c r="I700" t="str">
        <f>"Heinäkübar ja Viltsuss"</f>
        <v>Heinäkübar ja Viltsuss</v>
      </c>
      <c r="J700" t="str">
        <f>"Grosberg, Reet"</f>
        <v>Grosberg, Reet</v>
      </c>
      <c r="K700" t="str">
        <f>"Tea, Tallinn"</f>
        <v>Tea, Tallinn</v>
      </c>
      <c r="L700" t="str">
        <f>""</f>
        <v/>
      </c>
      <c r="M700" t="str">
        <f>"978-9985-71-558-1"</f>
        <v>978-9985-71-558-1</v>
      </c>
    </row>
    <row r="701" spans="1:13" ht="15">
      <c r="A701" t="s">
        <v>331</v>
      </c>
      <c r="B701" t="str">
        <f>"8745"</f>
        <v>8745</v>
      </c>
      <c r="C701" t="str">
        <f>"1989"</f>
        <v>1989</v>
      </c>
      <c r="D701" t="str">
        <f>"Heinähattu ja  Vilttitossu"</f>
        <v>Heinähattu ja  Vilttitossu</v>
      </c>
      <c r="E701" t="str">
        <f t="shared" si="63"/>
        <v>viro</v>
      </c>
      <c r="F701" t="str">
        <f>"proosa"</f>
        <v>proosa</v>
      </c>
      <c r="G701" t="str">
        <f>" lapsed ja noored"</f>
        <v xml:space="preserve"> lapsed ja noored</v>
      </c>
      <c r="H701" t="str">
        <f t="shared" si="64"/>
        <v>2006</v>
      </c>
      <c r="I701" t="str">
        <f>"Heinäkübar ja Viltsuss"</f>
        <v>Heinäkübar ja Viltsuss</v>
      </c>
      <c r="J701" t="str">
        <f>"Grosberg, Reet"</f>
        <v>Grosberg, Reet</v>
      </c>
      <c r="K701" t="str">
        <f>"Tea, Tallinn"</f>
        <v>Tea, Tallinn</v>
      </c>
      <c r="L701" t="str">
        <f>""</f>
        <v/>
      </c>
      <c r="M701" t="str">
        <f>"978-9985-71-558-1"</f>
        <v>978-9985-71-558-1</v>
      </c>
    </row>
    <row r="702" spans="1:13" ht="15">
      <c r="A702" t="s">
        <v>346</v>
      </c>
      <c r="B702" t="str">
        <f>"8111"</f>
        <v>8111</v>
      </c>
      <c r="C702" t="str">
        <f>"2005"</f>
        <v>2005</v>
      </c>
      <c r="D702" t="str">
        <f>"Baby Jane"</f>
        <v>Baby Jane</v>
      </c>
      <c r="E702" t="str">
        <f t="shared" si="63"/>
        <v>viro</v>
      </c>
      <c r="F702" t="str">
        <f>"romaanid; proosa"</f>
        <v>romaanid; proosa</v>
      </c>
      <c r="G702" t="str">
        <f>"  täiskasvanud"</f>
        <v xml:space="preserve">  täiskasvanud</v>
      </c>
      <c r="H702" t="str">
        <f t="shared" si="64"/>
        <v>2006</v>
      </c>
      <c r="I702" t="str">
        <f>"Baby Jane"</f>
        <v>Baby Jane</v>
      </c>
      <c r="J702" t="str">
        <f>"Pappel, Tiina"</f>
        <v>Pappel, Tiina</v>
      </c>
      <c r="K702" t="str">
        <f>"Tänapäev, Tallinn"</f>
        <v>Tänapäev, Tallinn</v>
      </c>
      <c r="L702" t="str">
        <f>""</f>
        <v/>
      </c>
      <c r="M702" t="str">
        <f>"9985-62-433-5"</f>
        <v>9985-62-433-5</v>
      </c>
    </row>
    <row r="703" spans="1:13" ht="15">
      <c r="A703" t="s">
        <v>367</v>
      </c>
      <c r="B703" t="str">
        <f>"9641"</f>
        <v>9641</v>
      </c>
      <c r="C703" t="str">
        <f>"1997"</f>
        <v>1997</v>
      </c>
      <c r="D703" t="str">
        <f>"Ella luokkaretkellä"</f>
        <v>Ella luokkaretkellä</v>
      </c>
      <c r="E703" t="str">
        <f t="shared" si="63"/>
        <v>viro</v>
      </c>
      <c r="F703" t="str">
        <f>"proosa"</f>
        <v>proosa</v>
      </c>
      <c r="G703" t="str">
        <f>" lapsed ja noored"</f>
        <v xml:space="preserve"> lapsed ja noored</v>
      </c>
      <c r="H703" t="str">
        <f t="shared" si="64"/>
        <v>2006</v>
      </c>
      <c r="I703" t="str">
        <f>"Ella õppekäigul"</f>
        <v>Ella õppekäigul</v>
      </c>
      <c r="J703" t="str">
        <f>"Arder, Ott"</f>
        <v>Arder, Ott</v>
      </c>
      <c r="K703" t="str">
        <f>"Tammerraamat, Rakvere"</f>
        <v>Tammerraamat, Rakvere</v>
      </c>
      <c r="L703" t="str">
        <f>""</f>
        <v/>
      </c>
      <c r="M703" t="str">
        <f>"9985973828"</f>
        <v>9985973828</v>
      </c>
    </row>
    <row r="704" spans="1:13" ht="15">
      <c r="A704" t="s">
        <v>367</v>
      </c>
      <c r="B704" t="str">
        <f>"9344"</f>
        <v>9344</v>
      </c>
      <c r="C704" t="str">
        <f>"1996"</f>
        <v>1996</v>
      </c>
      <c r="D704" t="str">
        <f>"Ella teatterissa"</f>
        <v>Ella teatterissa</v>
      </c>
      <c r="E704" t="str">
        <f t="shared" si="63"/>
        <v>viro</v>
      </c>
      <c r="F704" t="str">
        <f>"proosa"</f>
        <v>proosa</v>
      </c>
      <c r="G704" t="str">
        <f>" lapsed ja noored"</f>
        <v xml:space="preserve"> lapsed ja noored</v>
      </c>
      <c r="H704" t="str">
        <f t="shared" si="64"/>
        <v>2006</v>
      </c>
      <c r="I704" t="str">
        <f>"Ella teatris"</f>
        <v>Ella teatris</v>
      </c>
      <c r="J704" t="str">
        <f>"Arder, Ott"</f>
        <v>Arder, Ott</v>
      </c>
      <c r="K704" t="str">
        <f>"Tammerraamat, Rakvere"</f>
        <v>Tammerraamat, Rakvere</v>
      </c>
      <c r="L704" t="str">
        <f>""</f>
        <v/>
      </c>
      <c r="M704" t="str">
        <f>"9985-9738-3-6"</f>
        <v>9985-9738-3-6</v>
      </c>
    </row>
    <row r="705" spans="1:13" ht="15">
      <c r="A705" t="s">
        <v>412</v>
      </c>
      <c r="B705" t="str">
        <f>"9340"</f>
        <v>9340</v>
      </c>
      <c r="C705" t="str">
        <f>"2000"</f>
        <v>2000</v>
      </c>
      <c r="D705" t="str">
        <f>"Suomen mies : Urho Kekkosen elämä"</f>
        <v>Suomen mies : Urho Kekkosen elämä</v>
      </c>
      <c r="E705" t="str">
        <f t="shared" si="63"/>
        <v>viro</v>
      </c>
      <c r="F705" t="str">
        <f>""</f>
        <v/>
      </c>
      <c r="G705" t="str">
        <f>"  täiskasvanud"</f>
        <v xml:space="preserve">  täiskasvanud</v>
      </c>
      <c r="H705" t="str">
        <f t="shared" si="64"/>
        <v>2006</v>
      </c>
      <c r="I705" t="str">
        <f>"Soome mees : Urho Kekkose elu"</f>
        <v>Soome mees : Urho Kekkose elu</v>
      </c>
      <c r="J705" t="str">
        <f>"Vahter, Tauno"</f>
        <v>Vahter, Tauno</v>
      </c>
      <c r="K705" t="str">
        <f>"Tänapäev, Tallinn"</f>
        <v>Tänapäev, Tallinn</v>
      </c>
      <c r="L705" t="str">
        <f>""</f>
        <v/>
      </c>
      <c r="M705" t="str">
        <f>"9985-62-386-X"</f>
        <v>9985-62-386-X</v>
      </c>
    </row>
    <row r="706" spans="1:13" ht="15">
      <c r="A706" t="s">
        <v>483</v>
      </c>
      <c r="B706" t="str">
        <f>"7898"</f>
        <v>7898</v>
      </c>
      <c r="C706" t="str">
        <f>"2003"</f>
        <v>2003</v>
      </c>
      <c r="D706" t="str">
        <f>"Eriks bok : roman"</f>
        <v>Eriks bok : roman</v>
      </c>
      <c r="E706" t="str">
        <f t="shared" si="63"/>
        <v>viro</v>
      </c>
      <c r="F706" t="str">
        <f>"romaanid; proosa"</f>
        <v>romaanid; proosa</v>
      </c>
      <c r="G706" t="str">
        <f>"  täiskasvanud"</f>
        <v xml:space="preserve">  täiskasvanud</v>
      </c>
      <c r="H706" t="str">
        <f t="shared" si="64"/>
        <v>2006</v>
      </c>
      <c r="I706" t="str">
        <f>"Eriku raamat"</f>
        <v>Eriku raamat</v>
      </c>
      <c r="J706" t="str">
        <f>"Arnover, Tõnis"</f>
        <v>Arnover, Tõnis</v>
      </c>
      <c r="K706" t="str">
        <f>"Eesti Raamat, Tallinn"</f>
        <v>Eesti Raamat, Tallinn</v>
      </c>
      <c r="L706" t="str">
        <f>""</f>
        <v/>
      </c>
      <c r="M706" t="str">
        <f>"9985-65-539-7"</f>
        <v>9985-65-539-7</v>
      </c>
    </row>
    <row r="707" spans="1:13" ht="15">
      <c r="A707" t="s">
        <v>516</v>
      </c>
      <c r="B707" t="str">
        <f>"8132"</f>
        <v>8132</v>
      </c>
      <c r="C707" t="str">
        <f>"2000"</f>
        <v>2000</v>
      </c>
      <c r="D707" t="str">
        <f>"Kahden puolen kanaalin"</f>
        <v>Kahden puolen kanaalin</v>
      </c>
      <c r="E707" t="str">
        <f t="shared" si="63"/>
        <v>viro</v>
      </c>
      <c r="F707" t="str">
        <f>""</f>
        <v/>
      </c>
      <c r="G707" t="str">
        <f>"  täiskasvanud"</f>
        <v xml:space="preserve">  täiskasvanud</v>
      </c>
      <c r="H707" t="str">
        <f t="shared" si="64"/>
        <v>2006</v>
      </c>
      <c r="I707" t="str">
        <f>"Kahel pool kanalit"</f>
        <v>Kahel pool kanalit</v>
      </c>
      <c r="J707" t="str">
        <f>"Saluri, Piret"</f>
        <v>Saluri, Piret</v>
      </c>
      <c r="K707" t="str">
        <f>"Varrak, Tallinn"</f>
        <v>Varrak, Tallinn</v>
      </c>
      <c r="L707" t="str">
        <f>""</f>
        <v/>
      </c>
      <c r="M707" t="str">
        <f>"9985-3-1303-8"</f>
        <v>9985-3-1303-8</v>
      </c>
    </row>
    <row r="708" spans="1:13" ht="15">
      <c r="A708" t="s">
        <v>523</v>
      </c>
      <c r="B708" t="str">
        <f>"14987"</f>
        <v>14987</v>
      </c>
      <c r="C708" t="str">
        <f>"2006"</f>
        <v>2006</v>
      </c>
      <c r="D708" t="str">
        <f>"Häivähdys punaista : Hella Wuolijoki ja hänen sisarensa Salme Pekkala vallankumouksen palveluksessa"</f>
        <v>Häivähdys punaista : Hella Wuolijoki ja hänen sisarensa Salme Pekkala vallankumouksen palveluksessa</v>
      </c>
      <c r="E708" t="str">
        <f>"viro, välikieli"</f>
        <v>viro, välikieli</v>
      </c>
      <c r="F708" t="str">
        <f>""</f>
        <v/>
      </c>
      <c r="G708" t="str">
        <f>"  täiskasvanud"</f>
        <v xml:space="preserve">  täiskasvanud</v>
      </c>
      <c r="H708" t="str">
        <f t="shared" si="64"/>
        <v>2006</v>
      </c>
      <c r="I708" t="str">
        <f>"Õrnroosa"</f>
        <v>Õrnroosa</v>
      </c>
      <c r="J708" t="str">
        <f>"Jesmin, Riina"</f>
        <v>Jesmin, Riina</v>
      </c>
      <c r="K708" t="str">
        <f>"Varrak, Tallinn"</f>
        <v>Varrak, Tallinn</v>
      </c>
      <c r="L708" t="str">
        <f>""</f>
        <v/>
      </c>
      <c r="M708" t="str">
        <f>"9985312406"</f>
        <v>9985312406</v>
      </c>
    </row>
    <row r="709" spans="1:13" ht="15">
      <c r="A709" t="s">
        <v>531</v>
      </c>
      <c r="B709" t="str">
        <f>"9345"</f>
        <v>9345</v>
      </c>
      <c r="C709" t="str">
        <f>"2004"</f>
        <v>2004</v>
      </c>
      <c r="D709" t="str">
        <f>"Kuinka kirjoitan romaanin"</f>
        <v>Kuinka kirjoitan romaanin</v>
      </c>
      <c r="E709" t="str">
        <f aca="true" t="shared" si="65" ref="E709:E740">"viro"</f>
        <v>viro</v>
      </c>
      <c r="F709" t="str">
        <f>""</f>
        <v/>
      </c>
      <c r="G709" t="str">
        <f>"  täiskasvanud"</f>
        <v xml:space="preserve">  täiskasvanud</v>
      </c>
      <c r="H709" t="str">
        <f t="shared" si="64"/>
        <v>2006</v>
      </c>
      <c r="I709" t="str">
        <f>"Kuidas ma kirjutan romaani"</f>
        <v>Kuidas ma kirjutan romaani</v>
      </c>
      <c r="J709" t="str">
        <f>"Haljamaa, Ants"</f>
        <v>Haljamaa, Ants</v>
      </c>
      <c r="K709" t="str">
        <f>"Kultuurileht, Tallinn"</f>
        <v>Kultuurileht, Tallinn</v>
      </c>
      <c r="L709" t="str">
        <f>""</f>
        <v/>
      </c>
      <c r="M709" t="str">
        <f>"9985853814"</f>
        <v>9985853814</v>
      </c>
    </row>
    <row r="710" spans="1:13" ht="15">
      <c r="A710" t="s">
        <v>560</v>
      </c>
      <c r="B710" t="str">
        <f>"192"</f>
        <v>192</v>
      </c>
      <c r="C710" t="str">
        <f>"2001"</f>
        <v>2001</v>
      </c>
      <c r="D710" t="str">
        <f>"Myrkky-vuodet"</f>
        <v>Myrkky-vuodet</v>
      </c>
      <c r="E710" t="str">
        <f t="shared" si="65"/>
        <v>viro</v>
      </c>
      <c r="F710" t="str">
        <f>"romaanid; proosa"</f>
        <v>romaanid; proosa</v>
      </c>
      <c r="G710" t="str">
        <f>"  täiskasvanud"</f>
        <v xml:space="preserve">  täiskasvanud</v>
      </c>
      <c r="H710" t="str">
        <f t="shared" si="64"/>
        <v>2006</v>
      </c>
      <c r="I710" t="str">
        <f>"Punane vänt Ltd."</f>
        <v>Punane vänt Ltd.</v>
      </c>
      <c r="J710" t="str">
        <f>"Mõisnik, Mihkel"</f>
        <v>Mõisnik, Mihkel</v>
      </c>
      <c r="K710" t="str">
        <f>"Hotger, Tallinn"</f>
        <v>Hotger, Tallinn</v>
      </c>
      <c r="L710" t="str">
        <f>""</f>
        <v/>
      </c>
      <c r="M710" t="str">
        <f>"978-9985-9707-3-7"</f>
        <v>978-9985-9707-3-7</v>
      </c>
    </row>
    <row r="711" spans="1:13" ht="15">
      <c r="A711" t="s">
        <v>570</v>
      </c>
      <c r="B711" t="str">
        <f>"9492"</f>
        <v>9492</v>
      </c>
      <c r="C711" t="str">
        <f>"2006"</f>
        <v>2006</v>
      </c>
      <c r="D711" t="str">
        <f>"Pinkki hartauskirja"</f>
        <v>Pinkki hartauskirja</v>
      </c>
      <c r="E711" t="str">
        <f t="shared" si="65"/>
        <v>viro</v>
      </c>
      <c r="F711" t="str">
        <f>"romaanid; proosa"</f>
        <v>romaanid; proosa</v>
      </c>
      <c r="G711" t="str">
        <f>"  täiskasvanud"</f>
        <v xml:space="preserve">  täiskasvanud</v>
      </c>
      <c r="H711" t="str">
        <f t="shared" si="64"/>
        <v>2006</v>
      </c>
      <c r="I711" t="str">
        <f>"Roosa palveraamat"</f>
        <v>Roosa palveraamat</v>
      </c>
      <c r="J711" t="str">
        <f>"Pappel, Tiina"</f>
        <v>Pappel, Tiina</v>
      </c>
      <c r="K711" t="str">
        <f>"Tänapäev, Tallinn"</f>
        <v>Tänapäev, Tallinn</v>
      </c>
      <c r="L711" t="str">
        <f>""</f>
        <v/>
      </c>
      <c r="M711" t="str">
        <f>"978-9985-62-609-2"</f>
        <v>978-9985-62-609-2</v>
      </c>
    </row>
    <row r="712" spans="1:13" ht="15">
      <c r="A712" t="s">
        <v>73</v>
      </c>
      <c r="B712" t="str">
        <f>"16519"</f>
        <v>16519</v>
      </c>
      <c r="C712" t="str">
        <f>"2002"</f>
        <v>2002</v>
      </c>
      <c r="D712" t="str">
        <f>"Tietäjä"</f>
        <v>Tietäjä</v>
      </c>
      <c r="E712" t="str">
        <f t="shared" si="65"/>
        <v>viro</v>
      </c>
      <c r="F712" t="str">
        <f>""</f>
        <v/>
      </c>
      <c r="G712" t="str">
        <f>"  täiskasvanud"</f>
        <v xml:space="preserve">  täiskasvanud</v>
      </c>
      <c r="H712" t="str">
        <f aca="true" t="shared" si="66" ref="H712:H740">"2007"</f>
        <v>2007</v>
      </c>
      <c r="I712" t="str">
        <f>"Teadja"</f>
        <v>Teadja</v>
      </c>
      <c r="J712" t="str">
        <f>"Ild, Silja"</f>
        <v>Ild, Silja</v>
      </c>
      <c r="K712" t="str">
        <f>"Pilgrim, Tallinn"</f>
        <v>Pilgrim, Tallinn</v>
      </c>
      <c r="L712" t="str">
        <f>""</f>
        <v/>
      </c>
      <c r="M712" t="str">
        <f>"9789985975961"</f>
        <v>9789985975961</v>
      </c>
    </row>
    <row r="713" spans="1:13" ht="15">
      <c r="A713" t="s">
        <v>77</v>
      </c>
      <c r="B713" t="str">
        <f>"8659"</f>
        <v>8659</v>
      </c>
      <c r="C713" t="str">
        <f>"2005"</f>
        <v>2005</v>
      </c>
      <c r="D713" t="str">
        <f>"Että hän muistaisi saman"</f>
        <v>Että hän muistaisi saman</v>
      </c>
      <c r="E713" t="str">
        <f t="shared" si="65"/>
        <v>viro</v>
      </c>
      <c r="F713" t="str">
        <f>"romaanid; proosa"</f>
        <v>romaanid; proosa</v>
      </c>
      <c r="G713" t="str">
        <f>"  täiskasvanud"</f>
        <v xml:space="preserve">  täiskasvanud</v>
      </c>
      <c r="H713" t="str">
        <f t="shared" si="66"/>
        <v>2007</v>
      </c>
      <c r="I713" t="str">
        <f>"Et tema mäletaks sedasama"</f>
        <v>Et tema mäletaks sedasama</v>
      </c>
      <c r="J713" t="str">
        <f>"Saluri, Piret"</f>
        <v>Saluri, Piret</v>
      </c>
      <c r="K713" t="str">
        <f>"Varrak, Tallinn"</f>
        <v>Varrak, Tallinn</v>
      </c>
      <c r="L713" t="str">
        <f>""</f>
        <v/>
      </c>
      <c r="M713" t="str">
        <f>"978-9985-3-1416-6"</f>
        <v>978-9985-3-1416-6</v>
      </c>
    </row>
    <row r="714" spans="1:13" ht="15">
      <c r="A714" t="s">
        <v>89</v>
      </c>
      <c r="B714" t="str">
        <f>"14952"</f>
        <v>14952</v>
      </c>
      <c r="C714" t="str">
        <f>"2006"</f>
        <v>2006</v>
      </c>
      <c r="D714" t="str">
        <f>"Urpon ja Turpon joulu"</f>
        <v>Urpon ja Turpon joulu</v>
      </c>
      <c r="E714" t="str">
        <f t="shared" si="65"/>
        <v>viro</v>
      </c>
      <c r="F714" t="str">
        <f>"proosa"</f>
        <v>proosa</v>
      </c>
      <c r="G714" t="str">
        <f>" lapsed ja noored"</f>
        <v xml:space="preserve"> lapsed ja noored</v>
      </c>
      <c r="H714" t="str">
        <f t="shared" si="66"/>
        <v>2007</v>
      </c>
      <c r="I714" t="str">
        <f>"Urbo ja Turbo jõulud"</f>
        <v>Urbo ja Turbo jõulud</v>
      </c>
      <c r="J714" t="str">
        <f>"Ollisaar, Martin"</f>
        <v>Ollisaar, Martin</v>
      </c>
      <c r="K714" t="str">
        <f>"Varrak, Tallinn"</f>
        <v>Varrak, Tallinn</v>
      </c>
      <c r="L714" t="str">
        <f>""</f>
        <v/>
      </c>
      <c r="M714" t="str">
        <f>"9789985315491"</f>
        <v>9789985315491</v>
      </c>
    </row>
    <row r="715" spans="1:13" ht="15">
      <c r="A715" t="s">
        <v>91</v>
      </c>
      <c r="B715" t="str">
        <f>"11013"</f>
        <v>11013</v>
      </c>
      <c r="C715" t="str">
        <f>"2007"</f>
        <v>2007</v>
      </c>
      <c r="D715" t="str">
        <f>"Heippa, täällä bakteeri!"</f>
        <v>Heippa, täällä bakteeri!</v>
      </c>
      <c r="E715" t="str">
        <f t="shared" si="65"/>
        <v>viro</v>
      </c>
      <c r="F715" t="str">
        <f>""</f>
        <v/>
      </c>
      <c r="G715" t="str">
        <f>" lapsed ja noored"</f>
        <v xml:space="preserve"> lapsed ja noored</v>
      </c>
      <c r="H715" t="str">
        <f t="shared" si="66"/>
        <v>2007</v>
      </c>
      <c r="I715" t="str">
        <f>"Taibupõnn bakterite maailmas"</f>
        <v>Taibupõnn bakterite maailmas</v>
      </c>
      <c r="J715" t="str">
        <f>"Vaba, Mari"</f>
        <v>Vaba, Mari</v>
      </c>
      <c r="K715" t="str">
        <f>"Tea, Tallinn"</f>
        <v>Tea, Tallinn</v>
      </c>
      <c r="L715" t="str">
        <f>""</f>
        <v/>
      </c>
      <c r="M715" t="str">
        <f>"978-9985-71-751-6"</f>
        <v>978-9985-71-751-6</v>
      </c>
    </row>
    <row r="716" spans="1:13" ht="15">
      <c r="A716" t="s">
        <v>109</v>
      </c>
      <c r="B716" t="str">
        <f>"185"</f>
        <v>185</v>
      </c>
      <c r="C716" t="str">
        <f>"2005"</f>
        <v>2005</v>
      </c>
      <c r="D716" t="str">
        <f>"Sarasvatin hiekkaa"</f>
        <v>Sarasvatin hiekkaa</v>
      </c>
      <c r="E716" t="str">
        <f t="shared" si="65"/>
        <v>viro</v>
      </c>
      <c r="F716" t="str">
        <f>"romaanid; põnevus- ja krimikirjandus; proosa"</f>
        <v>romaanid; põnevus- ja krimikirjandus; proosa</v>
      </c>
      <c r="G716" t="str">
        <f>"  täiskasvanud"</f>
        <v xml:space="preserve">  täiskasvanud</v>
      </c>
      <c r="H716" t="str">
        <f t="shared" si="66"/>
        <v>2007</v>
      </c>
      <c r="I716" t="str">
        <f>"Sarasvati liiv : ökoloogiline põnevusromaan"</f>
        <v>Sarasvati liiv : ökoloogiline põnevusromaan</v>
      </c>
      <c r="J716" t="str">
        <f>"Prii, Rein"</f>
        <v>Prii, Rein</v>
      </c>
      <c r="K716" t="str">
        <f>"Kunst, Tallinn"</f>
        <v>Kunst, Tallinn</v>
      </c>
      <c r="L716" t="str">
        <f>""</f>
        <v/>
      </c>
      <c r="M716" t="str">
        <f>"978-9949-407-87-3"</f>
        <v>978-9949-407-87-3</v>
      </c>
    </row>
    <row r="717" spans="1:13" ht="15">
      <c r="A717" t="s">
        <v>122</v>
      </c>
      <c r="B717" t="str">
        <f>"14953"</f>
        <v>14953</v>
      </c>
      <c r="C717" t="str">
        <f>"2003"</f>
        <v>2003</v>
      </c>
      <c r="D717" t="str">
        <f>"Mobile Horror : näytelmä"</f>
        <v>Mobile Horror : näytelmä</v>
      </c>
      <c r="E717" t="str">
        <f t="shared" si="65"/>
        <v>viro</v>
      </c>
      <c r="F717" t="str">
        <f>"näidendid; draama"</f>
        <v>näidendid; draama</v>
      </c>
      <c r="G717" t="str">
        <f>"  täiskasvanud"</f>
        <v xml:space="preserve">  täiskasvanud</v>
      </c>
      <c r="H717" t="str">
        <f t="shared" si="66"/>
        <v>2007</v>
      </c>
      <c r="I717" t="str">
        <f>"Mobile horror"</f>
        <v>Mobile horror</v>
      </c>
      <c r="J717" t="str">
        <f>"Kruusa, Kalju"</f>
        <v>Kruusa, Kalju</v>
      </c>
      <c r="K717" t="str">
        <f>"NyNorden, Tallinn"</f>
        <v>NyNorden, Tallinn</v>
      </c>
      <c r="L717" t="str">
        <f>""</f>
        <v/>
      </c>
      <c r="M717" t="str">
        <f>"9789949155828"</f>
        <v>9789949155828</v>
      </c>
    </row>
    <row r="718" spans="1:13" ht="15">
      <c r="A718" t="s">
        <v>188</v>
      </c>
      <c r="B718" t="str">
        <f>"9359"</f>
        <v>9359</v>
      </c>
      <c r="C718" t="str">
        <f>"1983"</f>
        <v>1983</v>
      </c>
      <c r="D718" t="str">
        <f>"Muinaisuutemme merivallat : kuvitettu historiallinen luonnos"</f>
        <v>Muinaisuutemme merivallat : kuvitettu historiallinen luonnos</v>
      </c>
      <c r="E718" t="str">
        <f t="shared" si="65"/>
        <v>viro</v>
      </c>
      <c r="F718" t="str">
        <f>""</f>
        <v/>
      </c>
      <c r="G718" t="str">
        <f>"  täiskasvanud"</f>
        <v xml:space="preserve">  täiskasvanud</v>
      </c>
      <c r="H718" t="str">
        <f t="shared" si="66"/>
        <v>2007</v>
      </c>
      <c r="I718" t="str">
        <f>"Meie muistsed mereriigid"</f>
        <v>Meie muistsed mereriigid</v>
      </c>
      <c r="J718" t="str">
        <f>"Kaaber, Ene"</f>
        <v>Kaaber, Ene</v>
      </c>
      <c r="K718" t="str">
        <f>"Ilo, Tallinn"</f>
        <v>Ilo, Tallinn</v>
      </c>
      <c r="L718" t="str">
        <f>""</f>
        <v/>
      </c>
      <c r="M718" t="str">
        <f>"978-9985-57-855-1"</f>
        <v>978-9985-57-855-1</v>
      </c>
    </row>
    <row r="719" spans="1:13" ht="15">
      <c r="A719" t="s">
        <v>193</v>
      </c>
      <c r="B719" t="str">
        <f>"12547"</f>
        <v>12547</v>
      </c>
      <c r="C719" t="str">
        <f>"2006"</f>
        <v>2006</v>
      </c>
      <c r="D719" t="str">
        <f>"Lontoolainen rakastaja"</f>
        <v>Lontoolainen rakastaja</v>
      </c>
      <c r="E719" t="str">
        <f t="shared" si="65"/>
        <v>viro</v>
      </c>
      <c r="F719" t="str">
        <f>"romaanid; proosa"</f>
        <v>romaanid; proosa</v>
      </c>
      <c r="G719" t="str">
        <f>"  täiskasvanud"</f>
        <v xml:space="preserve">  täiskasvanud</v>
      </c>
      <c r="H719" t="str">
        <f t="shared" si="66"/>
        <v>2007</v>
      </c>
      <c r="I719" t="str">
        <f>"Londoni armuke"</f>
        <v>Londoni armuke</v>
      </c>
      <c r="J719" t="str">
        <f>"Jaanits, Kadri"</f>
        <v>Jaanits, Kadri</v>
      </c>
      <c r="K719" t="str">
        <f>"Varrak, Tallinn"</f>
        <v>Varrak, Tallinn</v>
      </c>
      <c r="L719" t="str">
        <f>""</f>
        <v/>
      </c>
      <c r="M719" t="str">
        <f>"9789985314784"</f>
        <v>9789985314784</v>
      </c>
    </row>
    <row r="720" spans="1:13" ht="15">
      <c r="A720" t="s">
        <v>217</v>
      </c>
      <c r="B720" t="str">
        <f>"14954"</f>
        <v>14954</v>
      </c>
      <c r="C720" t="str">
        <f>"1995"</f>
        <v>1995</v>
      </c>
      <c r="D720" t="str">
        <f>"Joulupukki ja noitarumpu"</f>
        <v>Joulupukki ja noitarumpu</v>
      </c>
      <c r="E720" t="str">
        <f t="shared" si="65"/>
        <v>viro</v>
      </c>
      <c r="F720" t="str">
        <f>"pildiraamatud"</f>
        <v>pildiraamatud</v>
      </c>
      <c r="G720" t="str">
        <f>" lapsed ja noored"</f>
        <v xml:space="preserve"> lapsed ja noored</v>
      </c>
      <c r="H720" t="str">
        <f t="shared" si="66"/>
        <v>2007</v>
      </c>
      <c r="I720" t="str">
        <f>"Jõulutaat ja nõiatrumm"</f>
        <v>Jõulutaat ja nõiatrumm</v>
      </c>
      <c r="J720" t="str">
        <f>"Ende, Üllar"</f>
        <v>Ende, Üllar</v>
      </c>
      <c r="K720" t="str">
        <f>"Sinisukk, Tallinn"</f>
        <v>Sinisukk, Tallinn</v>
      </c>
      <c r="L720" t="str">
        <f>""</f>
        <v/>
      </c>
      <c r="M720" t="str">
        <f>"9789949143139"</f>
        <v>9789949143139</v>
      </c>
    </row>
    <row r="721" spans="1:13" ht="15">
      <c r="A721" t="s">
        <v>219</v>
      </c>
      <c r="B721" t="str">
        <f>"14954"</f>
        <v>14954</v>
      </c>
      <c r="C721" t="str">
        <f>"1995"</f>
        <v>1995</v>
      </c>
      <c r="D721" t="str">
        <f>"Joulupukki ja noitarumpu"</f>
        <v>Joulupukki ja noitarumpu</v>
      </c>
      <c r="E721" t="str">
        <f t="shared" si="65"/>
        <v>viro</v>
      </c>
      <c r="F721" t="str">
        <f>"pildiraamatud"</f>
        <v>pildiraamatud</v>
      </c>
      <c r="G721" t="str">
        <f>" lapsed ja noored"</f>
        <v xml:space="preserve"> lapsed ja noored</v>
      </c>
      <c r="H721" t="str">
        <f t="shared" si="66"/>
        <v>2007</v>
      </c>
      <c r="I721" t="str">
        <f>"Jõulutaat ja nõiatrumm"</f>
        <v>Jõulutaat ja nõiatrumm</v>
      </c>
      <c r="J721" t="str">
        <f>"Ende, Üllar"</f>
        <v>Ende, Üllar</v>
      </c>
      <c r="K721" t="str">
        <f>"Sinisukk, Tallinn"</f>
        <v>Sinisukk, Tallinn</v>
      </c>
      <c r="L721" t="str">
        <f>""</f>
        <v/>
      </c>
      <c r="M721" t="str">
        <f>"9789949143139"</f>
        <v>9789949143139</v>
      </c>
    </row>
    <row r="722" spans="1:13" ht="15">
      <c r="A722" t="s">
        <v>267</v>
      </c>
      <c r="B722" t="str">
        <f>"9362"</f>
        <v>9362</v>
      </c>
      <c r="C722" t="str">
        <f>"2006"</f>
        <v>2006</v>
      </c>
      <c r="D722" t="str">
        <f>"Urho Kekkonen ja Viro"</f>
        <v>Urho Kekkonen ja Viro</v>
      </c>
      <c r="E722" t="str">
        <f t="shared" si="65"/>
        <v>viro</v>
      </c>
      <c r="F722" t="str">
        <f>""</f>
        <v/>
      </c>
      <c r="G722" t="str">
        <f>"  täiskasvanud"</f>
        <v xml:space="preserve">  täiskasvanud</v>
      </c>
      <c r="H722" t="str">
        <f t="shared" si="66"/>
        <v>2007</v>
      </c>
      <c r="I722" t="str">
        <f>"Urho Kekkonen ja Eesti"</f>
        <v>Urho Kekkonen ja Eesti</v>
      </c>
      <c r="J722" t="str">
        <f>"Kaaber, Ene"</f>
        <v>Kaaber, Ene</v>
      </c>
      <c r="K722" t="str">
        <f>"K &amp; K, Tallinn"</f>
        <v>K &amp; K, Tallinn</v>
      </c>
      <c r="L722" t="str">
        <f>""</f>
        <v/>
      </c>
      <c r="M722" t="str">
        <f>"978-9985-9152-2-6"</f>
        <v>978-9985-9152-2-6</v>
      </c>
    </row>
    <row r="723" spans="1:13" ht="15">
      <c r="A723" t="s">
        <v>296</v>
      </c>
      <c r="B723" t="str">
        <f>"9440"</f>
        <v>9440</v>
      </c>
      <c r="C723" t="str">
        <f>"1954"</f>
        <v>1954</v>
      </c>
      <c r="D723" t="str">
        <f>"Suomen marsalkan muistelmat : G. Mannerheimin Muistelmien 1-2 kansanpainos"</f>
        <v>Suomen marsalkan muistelmat : G. Mannerheimin Muistelmien 1-2 kansanpainos</v>
      </c>
      <c r="E723" t="str">
        <f t="shared" si="65"/>
        <v>viro</v>
      </c>
      <c r="F723" t="str">
        <f>""</f>
        <v/>
      </c>
      <c r="G723" t="str">
        <f>"  täiskasvanud"</f>
        <v xml:space="preserve">  täiskasvanud</v>
      </c>
      <c r="H723" t="str">
        <f t="shared" si="66"/>
        <v>2007</v>
      </c>
      <c r="I723" t="str">
        <f>"Soome marssali mälestused"</f>
        <v>Soome marssali mälestused</v>
      </c>
      <c r="J723" t="str">
        <f>"Anupõld, Elle, Kalkun, Kalev"</f>
        <v>Anupõld, Elle, Kalkun, Kalev</v>
      </c>
      <c r="K723" t="str">
        <f>"Olion, Tallinn"</f>
        <v>Olion, Tallinn</v>
      </c>
      <c r="L723" t="str">
        <f>""</f>
        <v/>
      </c>
      <c r="M723" t="str">
        <f>"978-9985-66-530-5"</f>
        <v>978-9985-66-530-5</v>
      </c>
    </row>
    <row r="724" spans="1:13" ht="15">
      <c r="A724" t="s">
        <v>306</v>
      </c>
      <c r="B724" t="str">
        <f>"9388"</f>
        <v>9388</v>
      </c>
      <c r="C724" t="str">
        <f>"2001"</f>
        <v>2001</v>
      </c>
      <c r="D724" t="str">
        <f>"Latvian virolaiset : historia, kieli ja kulttuuri"</f>
        <v>Latvian virolaiset : historia, kieli ja kulttuuri</v>
      </c>
      <c r="E724" t="str">
        <f t="shared" si="65"/>
        <v>viro</v>
      </c>
      <c r="F724" t="str">
        <f>""</f>
        <v/>
      </c>
      <c r="G724" t="str">
        <f>"  täiskasvanud"</f>
        <v xml:space="preserve">  täiskasvanud</v>
      </c>
      <c r="H724" t="str">
        <f t="shared" si="66"/>
        <v>2007</v>
      </c>
      <c r="I724" t="str">
        <f>"Läti eestlased"</f>
        <v>Läti eestlased</v>
      </c>
      <c r="J724" t="str">
        <f>"Vaba, Mari"</f>
        <v>Vaba, Mari</v>
      </c>
      <c r="K724" t="str">
        <f>"Eesti Keele Sihtasutus, Tallinn"</f>
        <v>Eesti Keele Sihtasutus, Tallinn</v>
      </c>
      <c r="L724" t="str">
        <f>""</f>
        <v/>
      </c>
      <c r="M724" t="str">
        <f>"978-9985-79-196-7"</f>
        <v>978-9985-79-196-7</v>
      </c>
    </row>
    <row r="725" spans="1:13" ht="15">
      <c r="A725" t="s">
        <v>323</v>
      </c>
      <c r="B725" t="str">
        <f>"9275"</f>
        <v>9275</v>
      </c>
      <c r="C725" t="str">
        <f>"2006"</f>
        <v>2006</v>
      </c>
      <c r="D725" t="str">
        <f>"Hard Luck Cafe : rikosromaani"</f>
        <v>Hard Luck Cafe : rikosromaani</v>
      </c>
      <c r="E725" t="str">
        <f t="shared" si="65"/>
        <v>viro</v>
      </c>
      <c r="F725" t="str">
        <f>"romaanid; põnevus- ja krimikirjandus; proosa"</f>
        <v>romaanid; põnevus- ja krimikirjandus; proosa</v>
      </c>
      <c r="G725" t="str">
        <f>"  täiskasvanud"</f>
        <v xml:space="preserve">  täiskasvanud</v>
      </c>
      <c r="H725" t="str">
        <f t="shared" si="66"/>
        <v>2007</v>
      </c>
      <c r="I725" t="str">
        <f>"Hard Luck Cafe"</f>
        <v>Hard Luck Cafe</v>
      </c>
      <c r="J725" t="str">
        <f>"Ringeveld, Katrin"</f>
        <v>Ringeveld, Katrin</v>
      </c>
      <c r="K725" t="str">
        <f>"Eesti Raamat, Tallinn"</f>
        <v>Eesti Raamat, Tallinn</v>
      </c>
      <c r="L725" t="str">
        <f>""</f>
        <v/>
      </c>
      <c r="M725" t="str">
        <f>"978-9985-65-619-8"</f>
        <v>978-9985-65-619-8</v>
      </c>
    </row>
    <row r="726" spans="1:13" ht="15">
      <c r="A726" t="s">
        <v>330</v>
      </c>
      <c r="B726" t="str">
        <f>"14956"</f>
        <v>14956</v>
      </c>
      <c r="C726" t="str">
        <f>"1991"</f>
        <v>1991</v>
      </c>
      <c r="D726" t="str">
        <f>"Heinähattu, Vilttitossu ja vaari"</f>
        <v>Heinähattu, Vilttitossu ja vaari</v>
      </c>
      <c r="E726" t="str">
        <f t="shared" si="65"/>
        <v>viro</v>
      </c>
      <c r="F726" t="str">
        <f>"proosa"</f>
        <v>proosa</v>
      </c>
      <c r="G726" t="str">
        <f>" lapsed ja noored"</f>
        <v xml:space="preserve"> lapsed ja noored</v>
      </c>
      <c r="H726" t="str">
        <f t="shared" si="66"/>
        <v>2007</v>
      </c>
      <c r="I726" t="str">
        <f>"Heinakübar, Viltsuss ja vaar"</f>
        <v>Heinakübar, Viltsuss ja vaar</v>
      </c>
      <c r="J726" t="str">
        <f>"Grosberg, Reet"</f>
        <v>Grosberg, Reet</v>
      </c>
      <c r="K726" t="str">
        <f>"TEA Kirjastus, Tallinn"</f>
        <v>TEA Kirjastus, Tallinn</v>
      </c>
      <c r="L726" t="str">
        <f>""</f>
        <v/>
      </c>
      <c r="M726" t="str">
        <f>"9789985716427"</f>
        <v>9789985716427</v>
      </c>
    </row>
    <row r="727" spans="1:13" ht="15">
      <c r="A727" t="s">
        <v>330</v>
      </c>
      <c r="B727" t="str">
        <f>"14955"</f>
        <v>14955</v>
      </c>
      <c r="C727" t="str">
        <f>"1990"</f>
        <v>1990</v>
      </c>
      <c r="D727" t="str">
        <f>"Heinähattu, Vilttitossu ja Vauva"</f>
        <v>Heinähattu, Vilttitossu ja Vauva</v>
      </c>
      <c r="E727" t="str">
        <f t="shared" si="65"/>
        <v>viro</v>
      </c>
      <c r="F727" t="str">
        <f>"proosa"</f>
        <v>proosa</v>
      </c>
      <c r="G727" t="str">
        <f>" lapsed ja noored"</f>
        <v xml:space="preserve"> lapsed ja noored</v>
      </c>
      <c r="H727" t="str">
        <f t="shared" si="66"/>
        <v>2007</v>
      </c>
      <c r="I727" t="str">
        <f>"Heinakübar, Viltsuss ja beebi"</f>
        <v>Heinakübar, Viltsuss ja beebi</v>
      </c>
      <c r="J727" t="str">
        <f>"Grosberg, Reet"</f>
        <v>Grosberg, Reet</v>
      </c>
      <c r="K727" t="str">
        <f>"TEA Kirjastus, Tallinn"</f>
        <v>TEA Kirjastus, Tallinn</v>
      </c>
      <c r="L727" t="str">
        <f>""</f>
        <v/>
      </c>
      <c r="M727" t="str">
        <f>"9789985715987"</f>
        <v>9789985715987</v>
      </c>
    </row>
    <row r="728" spans="1:13" ht="15">
      <c r="A728" t="s">
        <v>331</v>
      </c>
      <c r="B728" t="str">
        <f>"14956"</f>
        <v>14956</v>
      </c>
      <c r="C728" t="str">
        <f>"1991"</f>
        <v>1991</v>
      </c>
      <c r="D728" t="str">
        <f>"Heinähattu, Vilttitossu ja vaari"</f>
        <v>Heinähattu, Vilttitossu ja vaari</v>
      </c>
      <c r="E728" t="str">
        <f t="shared" si="65"/>
        <v>viro</v>
      </c>
      <c r="F728" t="str">
        <f>"proosa"</f>
        <v>proosa</v>
      </c>
      <c r="G728" t="str">
        <f>" lapsed ja noored"</f>
        <v xml:space="preserve"> lapsed ja noored</v>
      </c>
      <c r="H728" t="str">
        <f t="shared" si="66"/>
        <v>2007</v>
      </c>
      <c r="I728" t="str">
        <f>"Heinakübar, Viltsuss ja vaar"</f>
        <v>Heinakübar, Viltsuss ja vaar</v>
      </c>
      <c r="J728" t="str">
        <f>"Grosberg, Reet"</f>
        <v>Grosberg, Reet</v>
      </c>
      <c r="K728" t="str">
        <f>"TEA Kirjastus, Tallinn"</f>
        <v>TEA Kirjastus, Tallinn</v>
      </c>
      <c r="L728" t="str">
        <f>""</f>
        <v/>
      </c>
      <c r="M728" t="str">
        <f>"9789985716427"</f>
        <v>9789985716427</v>
      </c>
    </row>
    <row r="729" spans="1:13" ht="15">
      <c r="A729" t="s">
        <v>331</v>
      </c>
      <c r="B729" t="str">
        <f>"14955"</f>
        <v>14955</v>
      </c>
      <c r="C729" t="str">
        <f>"1990"</f>
        <v>1990</v>
      </c>
      <c r="D729" t="str">
        <f>"Heinähattu, Vilttitossu ja Vauva"</f>
        <v>Heinähattu, Vilttitossu ja Vauva</v>
      </c>
      <c r="E729" t="str">
        <f t="shared" si="65"/>
        <v>viro</v>
      </c>
      <c r="F729" t="str">
        <f>"proosa"</f>
        <v>proosa</v>
      </c>
      <c r="G729" t="str">
        <f>" lapsed ja noored"</f>
        <v xml:space="preserve"> lapsed ja noored</v>
      </c>
      <c r="H729" t="str">
        <f t="shared" si="66"/>
        <v>2007</v>
      </c>
      <c r="I729" t="str">
        <f>"Heinakübar, Viltsuss ja beebi"</f>
        <v>Heinakübar, Viltsuss ja beebi</v>
      </c>
      <c r="J729" t="str">
        <f>"Grosberg, Reet"</f>
        <v>Grosberg, Reet</v>
      </c>
      <c r="K729" t="str">
        <f>"TEA Kirjastus, Tallinn"</f>
        <v>TEA Kirjastus, Tallinn</v>
      </c>
      <c r="L729" t="str">
        <f>""</f>
        <v/>
      </c>
      <c r="M729" t="str">
        <f>"9789985715987"</f>
        <v>9789985715987</v>
      </c>
    </row>
    <row r="730" spans="1:13" ht="15">
      <c r="A730" t="s">
        <v>340</v>
      </c>
      <c r="B730" t="str">
        <f>"9656"</f>
        <v>9656</v>
      </c>
      <c r="C730" t="str">
        <f>"2003"</f>
        <v>2003</v>
      </c>
      <c r="D730" t="str">
        <f>"Raid ja poika"</f>
        <v>Raid ja poika</v>
      </c>
      <c r="E730" t="str">
        <f t="shared" si="65"/>
        <v>viro</v>
      </c>
      <c r="F730" t="str">
        <f>"romaanid; põnevus- ja krimikirjandus; proosa"</f>
        <v>romaanid; põnevus- ja krimikirjandus; proosa</v>
      </c>
      <c r="G730" t="str">
        <f>"  täiskasvanud"</f>
        <v xml:space="preserve">  täiskasvanud</v>
      </c>
      <c r="H730" t="str">
        <f t="shared" si="66"/>
        <v>2007</v>
      </c>
      <c r="I730" t="str">
        <f>"Raid ja poiss"</f>
        <v>Raid ja poiss</v>
      </c>
      <c r="J730" t="str">
        <f>"Haljamaa, Lauri"</f>
        <v>Haljamaa, Lauri</v>
      </c>
      <c r="K730" t="str">
        <f>"Koolibri, Tallinn"</f>
        <v>Koolibri, Tallinn</v>
      </c>
      <c r="L730" t="str">
        <f>""</f>
        <v/>
      </c>
      <c r="M730" t="str">
        <f>"978-9985-0-1877-4"</f>
        <v>978-9985-0-1877-4</v>
      </c>
    </row>
    <row r="731" spans="1:13" ht="15">
      <c r="A731" t="s">
        <v>401</v>
      </c>
      <c r="B731" t="str">
        <f>"9362"</f>
        <v>9362</v>
      </c>
      <c r="C731" t="str">
        <f>"2006"</f>
        <v>2006</v>
      </c>
      <c r="D731" t="str">
        <f>"Urho Kekkonen ja Viro"</f>
        <v>Urho Kekkonen ja Viro</v>
      </c>
      <c r="E731" t="str">
        <f t="shared" si="65"/>
        <v>viro</v>
      </c>
      <c r="F731" t="str">
        <f>""</f>
        <v/>
      </c>
      <c r="G731" t="str">
        <f>"  täiskasvanud"</f>
        <v xml:space="preserve">  täiskasvanud</v>
      </c>
      <c r="H731" t="str">
        <f t="shared" si="66"/>
        <v>2007</v>
      </c>
      <c r="I731" t="str">
        <f>"Urho Kekkonen ja Eesti"</f>
        <v>Urho Kekkonen ja Eesti</v>
      </c>
      <c r="J731" t="str">
        <f>"Kaaber, Ene"</f>
        <v>Kaaber, Ene</v>
      </c>
      <c r="K731" t="str">
        <f>"K &amp; K, Tallinn"</f>
        <v>K &amp; K, Tallinn</v>
      </c>
      <c r="L731" t="str">
        <f>""</f>
        <v/>
      </c>
      <c r="M731" t="str">
        <f>"978-9985-9152-2-6"</f>
        <v>978-9985-9152-2-6</v>
      </c>
    </row>
    <row r="732" spans="1:13" ht="15">
      <c r="A732" t="s">
        <v>417</v>
      </c>
      <c r="B732" t="str">
        <f>"9445"</f>
        <v>9445</v>
      </c>
      <c r="C732" t="str">
        <f>"2003"</f>
        <v>2003</v>
      </c>
      <c r="D732" t="str">
        <f>"Ikiyö"</f>
        <v>Ikiyö</v>
      </c>
      <c r="E732" t="str">
        <f t="shared" si="65"/>
        <v>viro</v>
      </c>
      <c r="F732" t="str">
        <f>"romaanid; põnevus- ja krimikirjandus; proosa"</f>
        <v>romaanid; põnevus- ja krimikirjandus; proosa</v>
      </c>
      <c r="G732" t="str">
        <f>"  täiskasvanud"</f>
        <v xml:space="preserve">  täiskasvanud</v>
      </c>
      <c r="H732" t="str">
        <f t="shared" si="66"/>
        <v>2007</v>
      </c>
      <c r="I732" t="str">
        <f>"Ürgöö"</f>
        <v>Ürgöö</v>
      </c>
      <c r="J732" t="str">
        <f>"Kurg, Kalle"</f>
        <v>Kurg, Kalle</v>
      </c>
      <c r="K732" t="str">
        <f>"Varrak, Tallinn"</f>
        <v>Varrak, Tallinn</v>
      </c>
      <c r="L732" t="str">
        <f>""</f>
        <v/>
      </c>
      <c r="M732" t="str">
        <f>"978-9985-3-1481-4"</f>
        <v>978-9985-3-1481-4</v>
      </c>
    </row>
    <row r="733" spans="1:13" ht="15">
      <c r="A733" t="s">
        <v>436</v>
      </c>
      <c r="B733" t="str">
        <f>"9543"</f>
        <v>9543</v>
      </c>
      <c r="C733" t="str">
        <f>""</f>
        <v/>
      </c>
      <c r="D733" t="str">
        <f>"Asiaa tai ei (Helsinki : Otava, 1980) ; Euroopan reuna : kineettinen kuva (Helsinki : Otava, 1982) ; Bretagne 1983 // Parnasso (Helsinki : Yhtyneet kuvalehdet, 1997)"</f>
        <v>Asiaa tai ei (Helsinki : Otava, 1980) ; Euroopan reuna : kineettinen kuva (Helsinki : Otava, 1982) ; Bretagne 1983 // Parnasso (Helsinki : Yhtyneet kuvalehdet, 1997)</v>
      </c>
      <c r="E733" t="str">
        <f t="shared" si="65"/>
        <v>viro</v>
      </c>
      <c r="F733" t="str">
        <f>""</f>
        <v/>
      </c>
      <c r="G733" t="str">
        <f>"  täiskasvanud"</f>
        <v xml:space="preserve">  täiskasvanud</v>
      </c>
      <c r="H733" t="str">
        <f t="shared" si="66"/>
        <v>2007</v>
      </c>
      <c r="I733" t="str">
        <f>"On või ei ole ; Euroopa serval : [kineetiline pilt] ; Bretagne'i päevik"</f>
        <v>On või ei ole ; Euroopa serval : [kineetiline pilt] ; Bretagne'i päevik</v>
      </c>
      <c r="J733" t="str">
        <f>"Saluri, Piret"</f>
        <v>Saluri, Piret</v>
      </c>
      <c r="K733" t="str">
        <f>"Varrak, Tallinn"</f>
        <v>Varrak, Tallinn</v>
      </c>
      <c r="L733" t="str">
        <f>""</f>
        <v/>
      </c>
      <c r="M733" t="str">
        <f>"978-9985-3-1291-9"</f>
        <v>978-9985-3-1291-9</v>
      </c>
    </row>
    <row r="734" spans="1:13" ht="15">
      <c r="A734" t="s">
        <v>437</v>
      </c>
      <c r="B734" t="str">
        <f>"9538"</f>
        <v>9538</v>
      </c>
      <c r="C734" t="str">
        <f>"2004"</f>
        <v>2004</v>
      </c>
      <c r="D734" t="str">
        <f>"Filosofia!"</f>
        <v>Filosofia!</v>
      </c>
      <c r="E734" t="str">
        <f t="shared" si="65"/>
        <v>viro</v>
      </c>
      <c r="F734" t="str">
        <f>""</f>
        <v/>
      </c>
      <c r="G734" t="str">
        <f>"  täiskasvanud"</f>
        <v xml:space="preserve">  täiskasvanud</v>
      </c>
      <c r="H734" t="str">
        <f t="shared" si="66"/>
        <v>2007</v>
      </c>
      <c r="I734" t="str">
        <f>"Filosoofia!"</f>
        <v>Filosoofia!</v>
      </c>
      <c r="J734" t="str">
        <f>"Kurg, Kalle"</f>
        <v>Kurg, Kalle</v>
      </c>
      <c r="K734" t="str">
        <f>"Hermes, Tartu"</f>
        <v>Hermes, Tartu</v>
      </c>
      <c r="L734" t="str">
        <f>""</f>
        <v/>
      </c>
      <c r="M734" t="str">
        <f>"978-9985-9817-3-3"</f>
        <v>978-9985-9817-3-3</v>
      </c>
    </row>
    <row r="735" spans="1:13" ht="15">
      <c r="A735" t="s">
        <v>445</v>
      </c>
      <c r="B735" t="str">
        <f>"10032"</f>
        <v>10032</v>
      </c>
      <c r="C735" t="str">
        <f>"2006"</f>
        <v>2006</v>
      </c>
      <c r="D735" t="str">
        <f>"Suomen sieniopas"</f>
        <v>Suomen sieniopas</v>
      </c>
      <c r="E735" t="str">
        <f t="shared" si="65"/>
        <v>viro</v>
      </c>
      <c r="F735" t="str">
        <f>""</f>
        <v/>
      </c>
      <c r="G735" t="str">
        <f>"  täiskasvanud"</f>
        <v xml:space="preserve">  täiskasvanud</v>
      </c>
      <c r="H735" t="str">
        <f t="shared" si="66"/>
        <v>2007</v>
      </c>
      <c r="I735" t="str">
        <f>"Põhjala seeneraamat"</f>
        <v>Põhjala seeneraamat</v>
      </c>
      <c r="J735" t="str">
        <f>"Niemelä, Tuomo, Rütel, Eve, Salo, Pertti"</f>
        <v>Niemelä, Tuomo, Rütel, Eve, Salo, Pertti</v>
      </c>
      <c r="K735" t="str">
        <f>"Sinisukk, Tallinn"</f>
        <v>Sinisukk, Tallinn</v>
      </c>
      <c r="L735" t="str">
        <f>""</f>
        <v/>
      </c>
      <c r="M735" t="str">
        <f>"978-9949-14-326-9"</f>
        <v>978-9949-14-326-9</v>
      </c>
    </row>
    <row r="736" spans="1:13" ht="15">
      <c r="A736" t="s">
        <v>461</v>
      </c>
      <c r="B736" t="str">
        <f>"8911"</f>
        <v>8911</v>
      </c>
      <c r="C736" t="str">
        <f>"1999"</f>
        <v>1999</v>
      </c>
      <c r="D736" t="str">
        <f>"Se tapahtui täällä"</f>
        <v>Se tapahtui täällä</v>
      </c>
      <c r="E736" t="str">
        <f t="shared" si="65"/>
        <v>viro</v>
      </c>
      <c r="F736" t="str">
        <f>"romaanid; proosa"</f>
        <v>romaanid; proosa</v>
      </c>
      <c r="G736" t="str">
        <f>"  täiskasvanud"</f>
        <v xml:space="preserve">  täiskasvanud</v>
      </c>
      <c r="H736" t="str">
        <f t="shared" si="66"/>
        <v>2007</v>
      </c>
      <c r="I736" t="str">
        <f>"See oli siin"</f>
        <v>See oli siin</v>
      </c>
      <c r="J736" t="str">
        <f>"Saluri, Piret"</f>
        <v>Saluri, Piret</v>
      </c>
      <c r="K736" t="str">
        <f>""</f>
        <v/>
      </c>
      <c r="L736" t="str">
        <f>""</f>
        <v/>
      </c>
      <c r="M736" t="str">
        <f>"978-9949-428-03-8"</f>
        <v>978-9949-428-03-8</v>
      </c>
    </row>
    <row r="737" spans="1:13" ht="15">
      <c r="A737" t="s">
        <v>472</v>
      </c>
      <c r="B737" t="str">
        <f>"9446"</f>
        <v>9446</v>
      </c>
      <c r="C737" t="str">
        <f>"1991"</f>
        <v>1991</v>
      </c>
      <c r="D737" t="str">
        <f>"Kaksi kaupunkia"</f>
        <v>Kaksi kaupunkia</v>
      </c>
      <c r="E737" t="str">
        <f t="shared" si="65"/>
        <v>viro</v>
      </c>
      <c r="F737" t="str">
        <f>"romaanid; proosa"</f>
        <v>romaanid; proosa</v>
      </c>
      <c r="G737" t="str">
        <f>"  täiskasvanud"</f>
        <v xml:space="preserve">  täiskasvanud</v>
      </c>
      <c r="H737" t="str">
        <f t="shared" si="66"/>
        <v>2007</v>
      </c>
      <c r="I737" t="str">
        <f>"Kaks linna"</f>
        <v>Kaks linna</v>
      </c>
      <c r="J737" t="str">
        <f>"Ild, Silja"</f>
        <v>Ild, Silja</v>
      </c>
      <c r="K737" t="str">
        <f>"Penikoorem, Tallinn"</f>
        <v>Penikoorem, Tallinn</v>
      </c>
      <c r="L737" t="str">
        <f>""</f>
        <v/>
      </c>
      <c r="M737" t="str">
        <f>"978-9985-9847-3-4"</f>
        <v>978-9985-9847-3-4</v>
      </c>
    </row>
    <row r="738" spans="1:13" ht="15">
      <c r="A738" t="s">
        <v>510</v>
      </c>
      <c r="B738" t="str">
        <f>"9302"</f>
        <v>9302</v>
      </c>
      <c r="C738" t="str">
        <f>"2005"</f>
        <v>2005</v>
      </c>
      <c r="D738" t="str">
        <f>"Pikkusiili Ihmetys"</f>
        <v>Pikkusiili Ihmetys</v>
      </c>
      <c r="E738" t="str">
        <f t="shared" si="65"/>
        <v>viro</v>
      </c>
      <c r="F738" t="str">
        <f>"pildiraamatud; proosa"</f>
        <v>pildiraamatud; proosa</v>
      </c>
      <c r="G738" t="str">
        <f>" lapsed ja noored"</f>
        <v xml:space="preserve"> lapsed ja noored</v>
      </c>
      <c r="H738" t="str">
        <f t="shared" si="66"/>
        <v>2007</v>
      </c>
      <c r="I738" t="str">
        <f>"Uudishimulik siilipoeg"</f>
        <v>Uudishimulik siilipoeg</v>
      </c>
      <c r="J738" t="str">
        <f>"Laherand, Meri-Liis"</f>
        <v>Laherand, Meri-Liis</v>
      </c>
      <c r="K738" t="str">
        <f>"Ilo, Tallinn"</f>
        <v>Ilo, Tallinn</v>
      </c>
      <c r="L738" t="str">
        <f>""</f>
        <v/>
      </c>
      <c r="M738" t="str">
        <f>"978-9985-57-852-0"</f>
        <v>978-9985-57-852-0</v>
      </c>
    </row>
    <row r="739" spans="1:13" ht="15">
      <c r="A739" t="s">
        <v>562</v>
      </c>
      <c r="B739" t="str">
        <f>"9454"</f>
        <v>9454</v>
      </c>
      <c r="C739" t="str">
        <f>"2006"</f>
        <v>2006</v>
      </c>
      <c r="D739" t="str">
        <f>"Gud"</f>
        <v>Gud</v>
      </c>
      <c r="E739" t="str">
        <f t="shared" si="65"/>
        <v>viro</v>
      </c>
      <c r="F739" t="str">
        <f>"romaanid; proosa"</f>
        <v>romaanid; proosa</v>
      </c>
      <c r="G739" t="str">
        <f>"  täiskasvanud"</f>
        <v xml:space="preserve">  täiskasvanud</v>
      </c>
      <c r="H739" t="str">
        <f t="shared" si="66"/>
        <v>2007</v>
      </c>
      <c r="I739" t="str">
        <f>"Jumal"</f>
        <v>Jumal</v>
      </c>
      <c r="J739" t="str">
        <f>"Sirkel, Mati"</f>
        <v>Sirkel, Mati</v>
      </c>
      <c r="K739" t="str">
        <f>"NyNorden, Tallinn"</f>
        <v>NyNorden, Tallinn</v>
      </c>
      <c r="L739" t="str">
        <f>""</f>
        <v/>
      </c>
      <c r="M739" t="str">
        <f>"978-9949-15-566-8"</f>
        <v>978-9949-15-566-8</v>
      </c>
    </row>
    <row r="740" spans="1:13" ht="15">
      <c r="A740" t="s">
        <v>564</v>
      </c>
      <c r="B740" t="str">
        <f>"9597"</f>
        <v>9597</v>
      </c>
      <c r="C740" t="str">
        <f>"2002"</f>
        <v>2002</v>
      </c>
      <c r="D740" t="str">
        <f>"Lang"</f>
        <v>Lang</v>
      </c>
      <c r="E740" t="str">
        <f t="shared" si="65"/>
        <v>viro</v>
      </c>
      <c r="F740" t="str">
        <f>"romaanid; proosa"</f>
        <v>romaanid; proosa</v>
      </c>
      <c r="G740" t="str">
        <f>"  täiskasvanud"</f>
        <v xml:space="preserve">  täiskasvanud</v>
      </c>
      <c r="H740" t="str">
        <f t="shared" si="66"/>
        <v>2007</v>
      </c>
      <c r="I740" t="str">
        <f>"Lang"</f>
        <v>Lang</v>
      </c>
      <c r="J740" t="str">
        <f>"Aaloe, Ülev"</f>
        <v>Aaloe, Ülev</v>
      </c>
      <c r="K740" t="str">
        <f>"Loomingu raamatukogu, Tallinn"</f>
        <v>Loomingu raamatukogu, Tallinn</v>
      </c>
      <c r="L740" t="str">
        <f>""</f>
        <v/>
      </c>
      <c r="M740" t="str">
        <f>"978-9949-428-23-6"</f>
        <v>978-9949-428-23-6</v>
      </c>
    </row>
    <row r="741" spans="2:13" ht="15">
      <c r="B741" t="str">
        <f>"10599"</f>
        <v>10599</v>
      </c>
      <c r="C741" t="str">
        <f>""</f>
        <v/>
      </c>
      <c r="D741" t="str">
        <f>""</f>
        <v/>
      </c>
      <c r="E741" t="str">
        <f aca="true" t="shared" si="67" ref="E741:E772">"viro"</f>
        <v>viro</v>
      </c>
      <c r="F741" t="str">
        <f>"lühiproosa; tieteiskirjallisuus; proosa"</f>
        <v>lühiproosa; tieteiskirjallisuus; proosa</v>
      </c>
      <c r="G741" t="str">
        <f>"  täiskasvanud"</f>
        <v xml:space="preserve">  täiskasvanud</v>
      </c>
      <c r="H741" t="str">
        <f aca="true" t="shared" si="68" ref="H741:H769">"2008"</f>
        <v>2008</v>
      </c>
      <c r="I741" t="str">
        <f>"Soome ulme"</f>
        <v>Soome ulme</v>
      </c>
      <c r="J741" t="str">
        <f>"Nikkarev, Arvi"</f>
        <v>Nikkarev, Arvi</v>
      </c>
      <c r="K741" t="str">
        <f>"Skarabeus, Saue"</f>
        <v>Skarabeus, Saue</v>
      </c>
      <c r="L741" t="str">
        <f>""</f>
        <v/>
      </c>
      <c r="M741" t="str">
        <f>"978-9985-9346-7-8"</f>
        <v>978-9985-9346-7-8</v>
      </c>
    </row>
    <row r="742" spans="1:13" ht="15">
      <c r="A742" t="s">
        <v>37</v>
      </c>
      <c r="B742" t="str">
        <f>"9900"</f>
        <v>9900</v>
      </c>
      <c r="C742" t="str">
        <f>"2007"</f>
        <v>2007</v>
      </c>
      <c r="D742" t="str">
        <f>"Huomenna pannaan pussauskoppiin : eväitä tyttönä ja poikana kasvamisen haasteisiin syntymästä murrosikään"</f>
        <v>Huomenna pannaan pussauskoppiin : eväitä tyttönä ja poikana kasvamisen haasteisiin syntymästä murrosikään</v>
      </c>
      <c r="E742" t="str">
        <f t="shared" si="67"/>
        <v>viro</v>
      </c>
      <c r="F742" t="str">
        <f>""</f>
        <v/>
      </c>
      <c r="G742" t="str">
        <f>"  täiskasvanud"</f>
        <v xml:space="preserve">  täiskasvanud</v>
      </c>
      <c r="H742" t="str">
        <f t="shared" si="68"/>
        <v>2008</v>
      </c>
      <c r="I742" t="str">
        <f>"Laste seksuaalkasvatus"</f>
        <v>Laste seksuaalkasvatus</v>
      </c>
      <c r="J742" t="str">
        <f>"Ülemaantee, Tõnu"</f>
        <v>Ülemaantee, Tõnu</v>
      </c>
      <c r="K742" t="str">
        <f>"Varrak, Tallinn"</f>
        <v>Varrak, Tallinn</v>
      </c>
      <c r="L742" t="str">
        <f>""</f>
        <v/>
      </c>
      <c r="M742" t="str">
        <f>"978-9985-3-1653-5"</f>
        <v>978-9985-3-1653-5</v>
      </c>
    </row>
    <row r="743" spans="1:13" ht="15">
      <c r="A743" t="s">
        <v>73</v>
      </c>
      <c r="B743" t="str">
        <f>"16517"</f>
        <v>16517</v>
      </c>
      <c r="C743" t="str">
        <f>"1996"</f>
        <v>1996</v>
      </c>
      <c r="D743" t="str">
        <f>"Ihminen tavattavissa : kohtaamisen taito"</f>
        <v>Ihminen tavattavissa : kohtaamisen taito</v>
      </c>
      <c r="E743" t="str">
        <f t="shared" si="67"/>
        <v>viro</v>
      </c>
      <c r="F743" t="str">
        <f>""</f>
        <v/>
      </c>
      <c r="G743" t="str">
        <f>"  täiskasvanud"</f>
        <v xml:space="preserve">  täiskasvanud</v>
      </c>
      <c r="H743" t="str">
        <f t="shared" si="68"/>
        <v>2008</v>
      </c>
      <c r="I743" t="str">
        <f>"Kuidas kohtuda inimesega?"</f>
        <v>Kuidas kohtuda inimesega?</v>
      </c>
      <c r="J743" t="str">
        <f>"Seppel, Ly"</f>
        <v>Seppel, Ly</v>
      </c>
      <c r="K743" t="str">
        <f>"Pilgrim, Tallinn"</f>
        <v>Pilgrim, Tallinn</v>
      </c>
      <c r="L743" t="str">
        <f>""</f>
        <v/>
      </c>
      <c r="M743" t="str">
        <f>"9789985984772"</f>
        <v>9789985984772</v>
      </c>
    </row>
    <row r="744" spans="1:13" ht="15">
      <c r="A744" t="s">
        <v>73</v>
      </c>
      <c r="B744" t="str">
        <f>"16518"</f>
        <v>16518</v>
      </c>
      <c r="C744" t="str">
        <f>"1999"</f>
        <v>1999</v>
      </c>
      <c r="D744" t="str">
        <f>"Vanhemmuus : vastuullista vallankäyttöä"</f>
        <v>Vanhemmuus : vastuullista vallankäyttöä</v>
      </c>
      <c r="E744" t="str">
        <f t="shared" si="67"/>
        <v>viro</v>
      </c>
      <c r="F744" t="str">
        <f>""</f>
        <v/>
      </c>
      <c r="G744" t="str">
        <f>"  täiskasvanud"</f>
        <v xml:space="preserve">  täiskasvanud</v>
      </c>
      <c r="H744" t="str">
        <f t="shared" si="68"/>
        <v>2008</v>
      </c>
      <c r="I744" t="str">
        <f>"Olla lapsevanem : võimu vastutustundlikust kasutamisest"</f>
        <v>Olla lapsevanem : võimu vastutustundlikust kasutamisest</v>
      </c>
      <c r="J744" t="str">
        <f>"Ehin, Andres"</f>
        <v>Ehin, Andres</v>
      </c>
      <c r="K744" t="str">
        <f>"Pilgrim, Tallinn"</f>
        <v>Pilgrim, Tallinn</v>
      </c>
      <c r="L744" t="str">
        <f>""</f>
        <v/>
      </c>
      <c r="M744" t="str">
        <f>"9789985984789"</f>
        <v>9789985984789</v>
      </c>
    </row>
    <row r="745" spans="1:13" ht="15">
      <c r="A745" t="s">
        <v>92</v>
      </c>
      <c r="B745" t="str">
        <f>"9905"</f>
        <v>9905</v>
      </c>
      <c r="C745" t="str">
        <f>""</f>
        <v/>
      </c>
      <c r="D745" t="str">
        <f>""</f>
        <v/>
      </c>
      <c r="E745" t="str">
        <f t="shared" si="67"/>
        <v>viro</v>
      </c>
      <c r="F745" t="str">
        <f>"lühiproosa, proosa"</f>
        <v>lühiproosa, proosa</v>
      </c>
      <c r="G745" t="str">
        <f>"  täiskasvanud"</f>
        <v xml:space="preserve">  täiskasvanud</v>
      </c>
      <c r="H745" t="str">
        <f t="shared" si="68"/>
        <v>2008</v>
      </c>
      <c r="I745" t="str">
        <f>"Silguvorm Jeesusele"</f>
        <v>Silguvorm Jeesusele</v>
      </c>
      <c r="J745" t="str">
        <f>"Kaber, Indrek, Saluri, Piret"</f>
        <v>Kaber, Indrek, Saluri, Piret</v>
      </c>
      <c r="K745" t="str">
        <f>"Tänapäev, Tallinn"</f>
        <v>Tänapäev, Tallinn</v>
      </c>
      <c r="L745" t="str">
        <f>""</f>
        <v/>
      </c>
      <c r="M745" t="str">
        <f>"978-9985-62-661-0"</f>
        <v>978-9985-62-661-0</v>
      </c>
    </row>
    <row r="746" spans="1:13" ht="15">
      <c r="A746" t="s">
        <v>124</v>
      </c>
      <c r="B746" t="str">
        <f>"9944"</f>
        <v>9944</v>
      </c>
      <c r="C746" t="str">
        <f>"2007"</f>
        <v>2007</v>
      </c>
      <c r="D746" t="str">
        <f>"Kiusaaja keskellämme : kokemuksia ja selviytymistarinoita vaikeasta ihmissuhteesta"</f>
        <v>Kiusaaja keskellämme : kokemuksia ja selviytymistarinoita vaikeasta ihmissuhteesta</v>
      </c>
      <c r="E746" t="str">
        <f t="shared" si="67"/>
        <v>viro</v>
      </c>
      <c r="F746" t="str">
        <f>""</f>
        <v/>
      </c>
      <c r="G746" t="str">
        <f>"  täiskasvanud"</f>
        <v xml:space="preserve">  täiskasvanud</v>
      </c>
      <c r="H746" t="str">
        <f t="shared" si="68"/>
        <v>2008</v>
      </c>
      <c r="I746" t="str">
        <f>"Kiusaja meie seas"</f>
        <v>Kiusaja meie seas</v>
      </c>
      <c r="J746" t="str">
        <f>"Ülemaantee, Tõnu"</f>
        <v>Ülemaantee, Tõnu</v>
      </c>
      <c r="K746" t="str">
        <f>"Varrak, Tallinn"</f>
        <v>Varrak, Tallinn</v>
      </c>
      <c r="L746" t="str">
        <f>""</f>
        <v/>
      </c>
      <c r="M746" t="str">
        <f>"978-9985-3-1719-8"</f>
        <v>978-9985-3-1719-8</v>
      </c>
    </row>
    <row r="747" spans="1:13" ht="15">
      <c r="A747" t="s">
        <v>147</v>
      </c>
      <c r="B747" t="str">
        <f>"14948"</f>
        <v>14948</v>
      </c>
      <c r="C747" t="str">
        <f>"1930"</f>
        <v>1930</v>
      </c>
      <c r="D747" t="str">
        <f>"Reigin pappi (1926) ; Pyhän joen kosto (1930)"</f>
        <v>Reigin pappi (1926) ; Pyhän joen kosto (1930)</v>
      </c>
      <c r="E747" t="str">
        <f t="shared" si="67"/>
        <v>viro</v>
      </c>
      <c r="F747" t="str">
        <f>"lühiproosa; romaanid; proosa"</f>
        <v>lühiproosa; romaanid; proosa</v>
      </c>
      <c r="G747" t="str">
        <f>"  täiskasvanud"</f>
        <v xml:space="preserve">  täiskasvanud</v>
      </c>
      <c r="H747" t="str">
        <f t="shared" si="68"/>
        <v>2008</v>
      </c>
      <c r="I747" t="str">
        <f>"Reigi õpetaja ; Püha jõe kättemaks"</f>
        <v>Reigi õpetaja ; Püha jõe kättemaks</v>
      </c>
      <c r="J747" t="str">
        <f>"Tuglas, Friedebert"</f>
        <v>Tuglas, Friedebert</v>
      </c>
      <c r="K747" t="str">
        <f>"Eesti Päevaleht, Tallinn"</f>
        <v>Eesti Päevaleht, Tallinn</v>
      </c>
      <c r="L747" t="str">
        <f>""</f>
        <v/>
      </c>
      <c r="M747" t="str">
        <f>"9789949431571"</f>
        <v>9789949431571</v>
      </c>
    </row>
    <row r="748" spans="1:13" ht="15">
      <c r="A748" t="s">
        <v>152</v>
      </c>
      <c r="B748" t="str">
        <f>"15297"</f>
        <v>15297</v>
      </c>
      <c r="C748" t="str">
        <f>"1921"</f>
        <v>1921</v>
      </c>
      <c r="D748" t="str">
        <f>"Pohjan poikain retki"</f>
        <v>Pohjan poikain retki</v>
      </c>
      <c r="E748" t="str">
        <f t="shared" si="67"/>
        <v>viro</v>
      </c>
      <c r="F748" t="str">
        <f>""</f>
        <v/>
      </c>
      <c r="G748" t="str">
        <f>"  täiskasvanud"</f>
        <v xml:space="preserve">  täiskasvanud</v>
      </c>
      <c r="H748" t="str">
        <f t="shared" si="68"/>
        <v>2008</v>
      </c>
      <c r="I748" t="str">
        <f>"Põhja poegade retk"</f>
        <v>Põhja poegade retk</v>
      </c>
      <c r="J748" t="str">
        <f>"Kikas, Rein"</f>
        <v>Kikas, Rein</v>
      </c>
      <c r="K748" t="str">
        <f>"Viljandi Muuseum, Viljandi"</f>
        <v>Viljandi Muuseum, Viljandi</v>
      </c>
      <c r="L748" t="str">
        <f>""</f>
        <v/>
      </c>
      <c r="M748" t="str">
        <f>"9789949156429"</f>
        <v>9789949156429</v>
      </c>
    </row>
    <row r="749" spans="1:13" ht="15">
      <c r="A749" t="s">
        <v>182</v>
      </c>
      <c r="B749" t="str">
        <f>"10017"</f>
        <v>10017</v>
      </c>
      <c r="C749" t="str">
        <f>"2003"</f>
        <v>2003</v>
      </c>
      <c r="D749" t="str">
        <f>"Anna mun olla lapsi"</f>
        <v>Anna mun olla lapsi</v>
      </c>
      <c r="E749" t="str">
        <f t="shared" si="67"/>
        <v>viro</v>
      </c>
      <c r="F749" t="str">
        <f>""</f>
        <v/>
      </c>
      <c r="G749" t="str">
        <f>"  täiskasvanud"</f>
        <v xml:space="preserve">  täiskasvanud</v>
      </c>
      <c r="H749" t="str">
        <f t="shared" si="68"/>
        <v>2008</v>
      </c>
      <c r="I749" t="str">
        <f>"Las ma olen laps"</f>
        <v>Las ma olen laps</v>
      </c>
      <c r="J749" t="str">
        <f>"Jaanus, Nelly"</f>
        <v>Jaanus, Nelly</v>
      </c>
      <c r="K749" t="str">
        <f>"Allika, Tallinn"</f>
        <v>Allika, Tallinn</v>
      </c>
      <c r="L749" t="str">
        <f>""</f>
        <v/>
      </c>
      <c r="M749" t="str">
        <f>"978-9985-9858-8-5"</f>
        <v>978-9985-9858-8-5</v>
      </c>
    </row>
    <row r="750" spans="1:13" ht="15">
      <c r="A750" t="s">
        <v>188</v>
      </c>
      <c r="B750" t="str">
        <f>"9747"</f>
        <v>9747</v>
      </c>
      <c r="C750" t="str">
        <f>"1995"</f>
        <v>1995</v>
      </c>
      <c r="D750" t="str">
        <f>"Itämeren maailma"</f>
        <v>Itämeren maailma</v>
      </c>
      <c r="E750" t="str">
        <f t="shared" si="67"/>
        <v>viro</v>
      </c>
      <c r="F750" t="str">
        <f>""</f>
        <v/>
      </c>
      <c r="G750" t="str">
        <f>"  täiskasvanud"</f>
        <v xml:space="preserve">  täiskasvanud</v>
      </c>
      <c r="H750" t="str">
        <f t="shared" si="68"/>
        <v>2008</v>
      </c>
      <c r="I750" t="str">
        <f>"Läänemere maailm"</f>
        <v>Läänemere maailm</v>
      </c>
      <c r="J750" t="str">
        <f>"Kaaber, Ene"</f>
        <v>Kaaber, Ene</v>
      </c>
      <c r="K750" t="str">
        <f>"Ilo, Tallinn"</f>
        <v>Ilo, Tallinn</v>
      </c>
      <c r="L750" t="str">
        <f>""</f>
        <v/>
      </c>
      <c r="M750" t="str">
        <f>"978-9985-57-876-6"</f>
        <v>978-9985-57-876-6</v>
      </c>
    </row>
    <row r="751" spans="1:13" ht="15">
      <c r="A751" t="s">
        <v>212</v>
      </c>
      <c r="B751" t="str">
        <f>"9895"</f>
        <v>9895</v>
      </c>
      <c r="C751" t="str">
        <f>"1992"</f>
        <v>1992</v>
      </c>
      <c r="D751" t="str">
        <f>"Matemaattisia olioita tai jaettuja unia"</f>
        <v>Matemaattisia olioita tai jaettuja unia</v>
      </c>
      <c r="E751" t="str">
        <f t="shared" si="67"/>
        <v>viro</v>
      </c>
      <c r="F751" t="str">
        <f>"lühiproosa, proosa"</f>
        <v>lühiproosa, proosa</v>
      </c>
      <c r="G751" t="str">
        <f>"  täiskasvanud"</f>
        <v xml:space="preserve">  täiskasvanud</v>
      </c>
      <c r="H751" t="str">
        <f t="shared" si="68"/>
        <v>2008</v>
      </c>
      <c r="I751" t="str">
        <f>"Matemaatilised olendid ehk jagatud unenäod"</f>
        <v>Matemaatilised olendid ehk jagatud unenäod</v>
      </c>
      <c r="J751" t="str">
        <f>"Põldmäe, Asta"</f>
        <v>Põldmäe, Asta</v>
      </c>
      <c r="K751" t="str">
        <f>"Eesti Päevalehe kirjastus, Tallinn"</f>
        <v>Eesti Päevalehe kirjastus, Tallinn</v>
      </c>
      <c r="L751" t="str">
        <f>""</f>
        <v/>
      </c>
      <c r="M751" t="str">
        <f>"978-9949-431-62-5"</f>
        <v>978-9949-431-62-5</v>
      </c>
    </row>
    <row r="752" spans="1:13" ht="15">
      <c r="A752" t="s">
        <v>242</v>
      </c>
      <c r="B752" t="str">
        <f>"15145"</f>
        <v>15145</v>
      </c>
      <c r="C752" t="str">
        <f>"2006"</f>
        <v>2006</v>
      </c>
      <c r="D752" t="str">
        <f>"Usko, toivo ja huijaus : rohkaisusta johdattelun kautta psykoterroriin"</f>
        <v>Usko, toivo ja huijaus : rohkaisusta johdattelun kautta psykoterroriin</v>
      </c>
      <c r="E752" t="str">
        <f t="shared" si="67"/>
        <v>viro</v>
      </c>
      <c r="F752" t="str">
        <f>""</f>
        <v/>
      </c>
      <c r="G752" t="str">
        <f>"  täiskasvanud"</f>
        <v xml:space="preserve">  täiskasvanud</v>
      </c>
      <c r="H752" t="str">
        <f t="shared" si="68"/>
        <v>2008</v>
      </c>
      <c r="I752" t="str">
        <f>"Usk, lootus ja ohtlik bluff"</f>
        <v>Usk, lootus ja ohtlik bluff</v>
      </c>
      <c r="J752" t="str">
        <f>"Kaaber, Ene"</f>
        <v>Kaaber, Ene</v>
      </c>
      <c r="K752" t="str">
        <f>"K &amp; K, Tallinn"</f>
        <v>K &amp; K, Tallinn</v>
      </c>
      <c r="L752" t="str">
        <f>""</f>
        <v/>
      </c>
      <c r="M752" t="str">
        <f>"9789985915233"</f>
        <v>9789985915233</v>
      </c>
    </row>
    <row r="753" spans="1:13" ht="15">
      <c r="A753" t="s">
        <v>320</v>
      </c>
      <c r="B753" t="str">
        <f>"10019"</f>
        <v>10019</v>
      </c>
      <c r="C753" t="str">
        <f>"2006"</f>
        <v>2006</v>
      </c>
      <c r="D753" t="str">
        <f>"Narsismi : vamma ja voimavara"</f>
        <v>Narsismi : vamma ja voimavara</v>
      </c>
      <c r="E753" t="str">
        <f t="shared" si="67"/>
        <v>viro</v>
      </c>
      <c r="F753" t="str">
        <f>""</f>
        <v/>
      </c>
      <c r="G753" t="str">
        <f>"  täiskasvanud"</f>
        <v xml:space="preserve">  täiskasvanud</v>
      </c>
      <c r="H753" t="str">
        <f t="shared" si="68"/>
        <v>2008</v>
      </c>
      <c r="I753" t="str">
        <f>"Nartsissism"</f>
        <v>Nartsissism</v>
      </c>
      <c r="J753" t="str">
        <f>"Ülemaantee, Tõnu"</f>
        <v>Ülemaantee, Tõnu</v>
      </c>
      <c r="K753" t="str">
        <f>"Cum Grano, Tallinn"</f>
        <v>Cum Grano, Tallinn</v>
      </c>
      <c r="L753" t="str">
        <f>""</f>
        <v/>
      </c>
      <c r="M753" t="str">
        <f>"978-9949-18-076-9"</f>
        <v>978-9949-18-076-9</v>
      </c>
    </row>
    <row r="754" spans="1:13" ht="15">
      <c r="A754" t="s">
        <v>321</v>
      </c>
      <c r="B754" t="str">
        <f>"9637"</f>
        <v>9637</v>
      </c>
      <c r="C754" t="str">
        <f>"2005"</f>
        <v>2005</v>
      </c>
      <c r="D754" t="str">
        <f>"Miisan uusi perhe"</f>
        <v>Miisan uusi perhe</v>
      </c>
      <c r="E754" t="str">
        <f t="shared" si="67"/>
        <v>viro</v>
      </c>
      <c r="F754" t="str">
        <f aca="true" t="shared" si="69" ref="F754:F760">"proosa"</f>
        <v>proosa</v>
      </c>
      <c r="G754" t="str">
        <f>" lapsed ja noored"</f>
        <v xml:space="preserve"> lapsed ja noored</v>
      </c>
      <c r="H754" t="str">
        <f t="shared" si="68"/>
        <v>2008</v>
      </c>
      <c r="I754" t="str">
        <f>"Miisa uus pere"</f>
        <v>Miisa uus pere</v>
      </c>
      <c r="J754" t="str">
        <f>"Lagerspetz, Hille"</f>
        <v>Lagerspetz, Hille</v>
      </c>
      <c r="K754" t="str">
        <f>"Koolibri, Tallinn"</f>
        <v>Koolibri, Tallinn</v>
      </c>
      <c r="L754" t="str">
        <f>""</f>
        <v/>
      </c>
      <c r="M754" t="str">
        <f>"9789985020449"</f>
        <v>9789985020449</v>
      </c>
    </row>
    <row r="755" spans="1:13" ht="15">
      <c r="A755" t="s">
        <v>330</v>
      </c>
      <c r="B755" t="str">
        <f>"14949"</f>
        <v>14949</v>
      </c>
      <c r="C755" t="str">
        <f>"1992"</f>
        <v>1992</v>
      </c>
      <c r="D755" t="str">
        <f>"Heinähattu ja Vilttitossu loman tarpeessa"</f>
        <v>Heinähattu ja Vilttitossu loman tarpeessa</v>
      </c>
      <c r="E755" t="str">
        <f t="shared" si="67"/>
        <v>viro</v>
      </c>
      <c r="F755" t="str">
        <f t="shared" si="69"/>
        <v>proosa</v>
      </c>
      <c r="G755" t="str">
        <f>" lapsed ja noored"</f>
        <v xml:space="preserve"> lapsed ja noored</v>
      </c>
      <c r="H755" t="str">
        <f t="shared" si="68"/>
        <v>2008</v>
      </c>
      <c r="I755" t="str">
        <f>"Heinakübar ja Viltsuss vajavad puhkust"</f>
        <v>Heinakübar ja Viltsuss vajavad puhkust</v>
      </c>
      <c r="J755" t="str">
        <f>"Grosberg, Reet"</f>
        <v>Grosberg, Reet</v>
      </c>
      <c r="K755" t="str">
        <f aca="true" t="shared" si="70" ref="K755:K760">"TEA Kirjastus, Tallinn"</f>
        <v>TEA Kirjastus, Tallinn</v>
      </c>
      <c r="L755" t="str">
        <f>""</f>
        <v/>
      </c>
      <c r="M755" t="str">
        <f>"9789985717189"</f>
        <v>9789985717189</v>
      </c>
    </row>
    <row r="756" spans="1:13" ht="15">
      <c r="A756" t="s">
        <v>330</v>
      </c>
      <c r="B756" t="str">
        <f>"14951"</f>
        <v>14951</v>
      </c>
      <c r="C756" t="str">
        <f>"1997"</f>
        <v>1997</v>
      </c>
      <c r="D756" t="str">
        <f>"Hetki lyö, Risto Räppääjä"</f>
        <v>Hetki lyö, Risto Räppääjä</v>
      </c>
      <c r="E756" t="str">
        <f t="shared" si="67"/>
        <v>viro</v>
      </c>
      <c r="F756" t="str">
        <f t="shared" si="69"/>
        <v>proosa</v>
      </c>
      <c r="G756" t="str">
        <f>" lapsed ja noored"</f>
        <v xml:space="preserve"> lapsed ja noored</v>
      </c>
      <c r="H756" t="str">
        <f t="shared" si="68"/>
        <v>2008</v>
      </c>
      <c r="I756" t="str">
        <f>"Risto Räppar ja viimane hoiatus"</f>
        <v>Risto Räppar ja viimane hoiatus</v>
      </c>
      <c r="J756" t="str">
        <f>"Kass, Kristiina"</f>
        <v>Kass, Kristiina</v>
      </c>
      <c r="K756" t="str">
        <f t="shared" si="70"/>
        <v>TEA Kirjastus, Tallinn</v>
      </c>
      <c r="L756" t="str">
        <f>""</f>
        <v/>
      </c>
      <c r="M756" t="str">
        <f>"9789985717196"</f>
        <v>9789985717196</v>
      </c>
    </row>
    <row r="757" spans="1:13" ht="15">
      <c r="A757" t="s">
        <v>330</v>
      </c>
      <c r="B757" t="str">
        <f>"14950"</f>
        <v>14950</v>
      </c>
      <c r="C757" t="str">
        <f>"1998"</f>
        <v>1998</v>
      </c>
      <c r="D757" t="str">
        <f>"Risto Räppääjä ja kauhea makkara"</f>
        <v>Risto Räppääjä ja kauhea makkara</v>
      </c>
      <c r="E757" t="str">
        <f t="shared" si="67"/>
        <v>viro</v>
      </c>
      <c r="F757" t="str">
        <f t="shared" si="69"/>
        <v>proosa</v>
      </c>
      <c r="G757" t="str">
        <f>" lapsed ja noored"</f>
        <v xml:space="preserve"> lapsed ja noored</v>
      </c>
      <c r="H757" t="str">
        <f t="shared" si="68"/>
        <v>2008</v>
      </c>
      <c r="I757" t="str">
        <f>"Risto Räppar ja kohutav vorst"</f>
        <v>Risto Räppar ja kohutav vorst</v>
      </c>
      <c r="J757" t="str">
        <f>"Kass, Kristiina"</f>
        <v>Kass, Kristiina</v>
      </c>
      <c r="K757" t="str">
        <f t="shared" si="70"/>
        <v>TEA Kirjastus, Tallinn</v>
      </c>
      <c r="L757" t="str">
        <f>""</f>
        <v/>
      </c>
      <c r="M757" t="str">
        <f>"9789985718094"</f>
        <v>9789985718094</v>
      </c>
    </row>
    <row r="758" spans="1:13" ht="15">
      <c r="A758" t="s">
        <v>331</v>
      </c>
      <c r="B758" t="str">
        <f>"14949"</f>
        <v>14949</v>
      </c>
      <c r="C758" t="str">
        <f>"1992"</f>
        <v>1992</v>
      </c>
      <c r="D758" t="str">
        <f>"Heinähattu ja Vilttitossu loman tarpeessa"</f>
        <v>Heinähattu ja Vilttitossu loman tarpeessa</v>
      </c>
      <c r="E758" t="str">
        <f t="shared" si="67"/>
        <v>viro</v>
      </c>
      <c r="F758" t="str">
        <f t="shared" si="69"/>
        <v>proosa</v>
      </c>
      <c r="G758" t="str">
        <f>" lapsed ja noored"</f>
        <v xml:space="preserve"> lapsed ja noored</v>
      </c>
      <c r="H758" t="str">
        <f t="shared" si="68"/>
        <v>2008</v>
      </c>
      <c r="I758" t="str">
        <f>"Heinakübar ja Viltsuss vajavad puhkust"</f>
        <v>Heinakübar ja Viltsuss vajavad puhkust</v>
      </c>
      <c r="J758" t="str">
        <f>"Grosberg, Reet"</f>
        <v>Grosberg, Reet</v>
      </c>
      <c r="K758" t="str">
        <f t="shared" si="70"/>
        <v>TEA Kirjastus, Tallinn</v>
      </c>
      <c r="L758" t="str">
        <f>""</f>
        <v/>
      </c>
      <c r="M758" t="str">
        <f>"9789985717189"</f>
        <v>9789985717189</v>
      </c>
    </row>
    <row r="759" spans="1:13" ht="15">
      <c r="A759" t="s">
        <v>331</v>
      </c>
      <c r="B759" t="str">
        <f>"14951"</f>
        <v>14951</v>
      </c>
      <c r="C759" t="str">
        <f>"1997"</f>
        <v>1997</v>
      </c>
      <c r="D759" t="str">
        <f>"Hetki lyö, Risto Räppääjä"</f>
        <v>Hetki lyö, Risto Räppääjä</v>
      </c>
      <c r="E759" t="str">
        <f t="shared" si="67"/>
        <v>viro</v>
      </c>
      <c r="F759" t="str">
        <f t="shared" si="69"/>
        <v>proosa</v>
      </c>
      <c r="G759" t="str">
        <f>" lapsed ja noored"</f>
        <v xml:space="preserve"> lapsed ja noored</v>
      </c>
      <c r="H759" t="str">
        <f t="shared" si="68"/>
        <v>2008</v>
      </c>
      <c r="I759" t="str">
        <f>"Risto Räppar ja viimane hoiatus"</f>
        <v>Risto Räppar ja viimane hoiatus</v>
      </c>
      <c r="J759" t="str">
        <f>"Kass, Kristiina"</f>
        <v>Kass, Kristiina</v>
      </c>
      <c r="K759" t="str">
        <f t="shared" si="70"/>
        <v>TEA Kirjastus, Tallinn</v>
      </c>
      <c r="L759" t="str">
        <f>""</f>
        <v/>
      </c>
      <c r="M759" t="str">
        <f>"9789985717196"</f>
        <v>9789985717196</v>
      </c>
    </row>
    <row r="760" spans="1:13" ht="15">
      <c r="A760" t="s">
        <v>331</v>
      </c>
      <c r="B760" t="str">
        <f>"14950"</f>
        <v>14950</v>
      </c>
      <c r="C760" t="str">
        <f>"1998"</f>
        <v>1998</v>
      </c>
      <c r="D760" t="str">
        <f>"Risto Räppääjä ja kauhea makkara"</f>
        <v>Risto Räppääjä ja kauhea makkara</v>
      </c>
      <c r="E760" t="str">
        <f t="shared" si="67"/>
        <v>viro</v>
      </c>
      <c r="F760" t="str">
        <f t="shared" si="69"/>
        <v>proosa</v>
      </c>
      <c r="G760" t="str">
        <f>" lapsed ja noored"</f>
        <v xml:space="preserve"> lapsed ja noored</v>
      </c>
      <c r="H760" t="str">
        <f t="shared" si="68"/>
        <v>2008</v>
      </c>
      <c r="I760" t="str">
        <f>"Risto Räppar ja kohutav vorst"</f>
        <v>Risto Räppar ja kohutav vorst</v>
      </c>
      <c r="J760" t="str">
        <f>"Kass, Kristiina"</f>
        <v>Kass, Kristiina</v>
      </c>
      <c r="K760" t="str">
        <f t="shared" si="70"/>
        <v>TEA Kirjastus, Tallinn</v>
      </c>
      <c r="L760" t="str">
        <f>""</f>
        <v/>
      </c>
      <c r="M760" t="str">
        <f>"9789985718094"</f>
        <v>9789985718094</v>
      </c>
    </row>
    <row r="761" spans="1:13" ht="15">
      <c r="A761" t="s">
        <v>340</v>
      </c>
      <c r="B761" t="str">
        <f>"10010"</f>
        <v>10010</v>
      </c>
      <c r="C761" t="str">
        <f>"2006"</f>
        <v>2006</v>
      </c>
      <c r="D761" t="str">
        <f>"Raid ja tappajat : jännitysromaani"</f>
        <v>Raid ja tappajat : jännitysromaani</v>
      </c>
      <c r="E761" t="str">
        <f t="shared" si="67"/>
        <v>viro</v>
      </c>
      <c r="F761" t="str">
        <f>"romaanid; põnevus- ja krimikirjandus; proosa"</f>
        <v>romaanid; põnevus- ja krimikirjandus; proosa</v>
      </c>
      <c r="G761" t="str">
        <f>"  täiskasvanud"</f>
        <v xml:space="preserve">  täiskasvanud</v>
      </c>
      <c r="H761" t="str">
        <f t="shared" si="68"/>
        <v>2008</v>
      </c>
      <c r="I761" t="str">
        <f>"Raid ja palgamõrvarid"</f>
        <v>Raid ja palgamõrvarid</v>
      </c>
      <c r="J761" t="str">
        <f>"Haljamaa, Lauri"</f>
        <v>Haljamaa, Lauri</v>
      </c>
      <c r="K761" t="str">
        <f>"Koolibri, Tallinn"</f>
        <v>Koolibri, Tallinn</v>
      </c>
      <c r="L761" t="str">
        <f>""</f>
        <v/>
      </c>
      <c r="M761" t="str">
        <f>"978-9985-0-2059-3"</f>
        <v>978-9985-0-2059-3</v>
      </c>
    </row>
    <row r="762" spans="1:13" ht="15">
      <c r="A762" t="s">
        <v>367</v>
      </c>
      <c r="B762" t="str">
        <f>"9925"</f>
        <v>9925</v>
      </c>
      <c r="C762" t="str">
        <f>"2006"</f>
        <v>2006</v>
      </c>
      <c r="D762" t="str">
        <f>"Keinulauta"</f>
        <v>Keinulauta</v>
      </c>
      <c r="E762" t="str">
        <f t="shared" si="67"/>
        <v>viro</v>
      </c>
      <c r="F762" t="str">
        <f>"proosa"</f>
        <v>proosa</v>
      </c>
      <c r="G762" t="str">
        <f>" lapsed ja noored"</f>
        <v xml:space="preserve"> lapsed ja noored</v>
      </c>
      <c r="H762" t="str">
        <f t="shared" si="68"/>
        <v>2008</v>
      </c>
      <c r="I762" t="str">
        <f>"Kiigelaud"</f>
        <v>Kiigelaud</v>
      </c>
      <c r="J762" t="str">
        <f>"Haljamaa, Kadri"</f>
        <v>Haljamaa, Kadri</v>
      </c>
      <c r="K762" t="str">
        <f>"Koolibri, Tallinn"</f>
        <v>Koolibri, Tallinn</v>
      </c>
      <c r="L762" t="str">
        <f>""</f>
        <v/>
      </c>
      <c r="M762" t="str">
        <f>"978-9985-0-2269-6"</f>
        <v>978-9985-0-2269-6</v>
      </c>
    </row>
    <row r="763" spans="1:13" ht="15">
      <c r="A763" t="s">
        <v>370</v>
      </c>
      <c r="B763" t="str">
        <f>"9587"</f>
        <v>9587</v>
      </c>
      <c r="C763" t="str">
        <f>"2005"</f>
        <v>2005</v>
      </c>
      <c r="D763" t="str">
        <f>"Ei armoa Suomen selkänahasta : ihmisluovutukset Neuvostoliittoon 1944-1981"</f>
        <v>Ei armoa Suomen selkänahasta : ihmisluovutukset Neuvostoliittoon 1944-1981</v>
      </c>
      <c r="E763" t="str">
        <f t="shared" si="67"/>
        <v>viro</v>
      </c>
      <c r="F763" t="str">
        <f>""</f>
        <v/>
      </c>
      <c r="G763" t="str">
        <f>"  täiskasvanud"</f>
        <v xml:space="preserve">  täiskasvanud</v>
      </c>
      <c r="H763" t="str">
        <f t="shared" si="68"/>
        <v>2008</v>
      </c>
      <c r="I763" t="str">
        <f>"Läbi Soome kadalipu"</f>
        <v>Läbi Soome kadalipu</v>
      </c>
      <c r="J763" t="str">
        <f>"Bahovski, Erkki"</f>
        <v>Bahovski, Erkki</v>
      </c>
      <c r="K763" t="str">
        <f>"Tänapäev, Tallinn"</f>
        <v>Tänapäev, Tallinn</v>
      </c>
      <c r="L763" t="str">
        <f>""</f>
        <v/>
      </c>
      <c r="M763" t="str">
        <f>"978-9985-62-629-0"</f>
        <v>978-9985-62-629-0</v>
      </c>
    </row>
    <row r="764" spans="1:13" ht="15">
      <c r="A764" t="s">
        <v>387</v>
      </c>
      <c r="B764" t="str">
        <f>"9587"</f>
        <v>9587</v>
      </c>
      <c r="C764" t="str">
        <f>"2005"</f>
        <v>2005</v>
      </c>
      <c r="D764" t="str">
        <f>"Ei armoa Suomen selkänahasta : ihmisluovutukset Neuvostoliittoon 1944-1981"</f>
        <v>Ei armoa Suomen selkänahasta : ihmisluovutukset Neuvostoliittoon 1944-1981</v>
      </c>
      <c r="E764" t="str">
        <f t="shared" si="67"/>
        <v>viro</v>
      </c>
      <c r="F764" t="str">
        <f>""</f>
        <v/>
      </c>
      <c r="G764" t="str">
        <f>"  täiskasvanud"</f>
        <v xml:space="preserve">  täiskasvanud</v>
      </c>
      <c r="H764" t="str">
        <f t="shared" si="68"/>
        <v>2008</v>
      </c>
      <c r="I764" t="str">
        <f>"Läbi Soome kadalipu"</f>
        <v>Läbi Soome kadalipu</v>
      </c>
      <c r="J764" t="str">
        <f>"Bahovski, Erkki"</f>
        <v>Bahovski, Erkki</v>
      </c>
      <c r="K764" t="str">
        <f>"Tänapäev, Tallinn"</f>
        <v>Tänapäev, Tallinn</v>
      </c>
      <c r="L764" t="str">
        <f>""</f>
        <v/>
      </c>
      <c r="M764" t="str">
        <f>"978-9985-62-629-0"</f>
        <v>978-9985-62-629-0</v>
      </c>
    </row>
    <row r="765" spans="1:13" ht="15">
      <c r="A765" t="s">
        <v>417</v>
      </c>
      <c r="B765" t="str">
        <f>"9923"</f>
        <v>9923</v>
      </c>
      <c r="C765" t="str">
        <f>"2003"</f>
        <v>2003</v>
      </c>
      <c r="D765" t="str">
        <f>"Piraatit"</f>
        <v>Piraatit</v>
      </c>
      <c r="E765" t="str">
        <f t="shared" si="67"/>
        <v>viro</v>
      </c>
      <c r="F765" t="str">
        <f>"romaanid; põnevus- ja krimikirjandus; proosa"</f>
        <v>romaanid; põnevus- ja krimikirjandus; proosa</v>
      </c>
      <c r="G765" t="str">
        <f>" lapsed ja noored"</f>
        <v xml:space="preserve"> lapsed ja noored</v>
      </c>
      <c r="H765" t="str">
        <f t="shared" si="68"/>
        <v>2008</v>
      </c>
      <c r="I765" t="str">
        <f>"Piraadid"</f>
        <v>Piraadid</v>
      </c>
      <c r="J765" t="str">
        <f>"Mallene, Meelik"</f>
        <v>Mallene, Meelik</v>
      </c>
      <c r="K765" t="str">
        <f>"Balti Raamat, Tallinn"</f>
        <v>Balti Raamat, Tallinn</v>
      </c>
      <c r="L765" t="str">
        <f>""</f>
        <v/>
      </c>
      <c r="M765" t="str">
        <f>"978-9985-849-44-6"</f>
        <v>978-9985-849-44-6</v>
      </c>
    </row>
    <row r="766" spans="1:13" ht="15">
      <c r="A766" t="s">
        <v>423</v>
      </c>
      <c r="B766" t="str">
        <f>"9788"</f>
        <v>9788</v>
      </c>
      <c r="C766" t="str">
        <f>"2007"</f>
        <v>2007</v>
      </c>
      <c r="D766" t="str">
        <f>"Laulava vallankumous : Viron rocksukupolven ihme"</f>
        <v>Laulava vallankumous : Viron rocksukupolven ihme</v>
      </c>
      <c r="E766" t="str">
        <f t="shared" si="67"/>
        <v>viro</v>
      </c>
      <c r="F766" t="str">
        <f>""</f>
        <v/>
      </c>
      <c r="G766" t="str">
        <f>"  täiskasvanud"</f>
        <v xml:space="preserve">  täiskasvanud</v>
      </c>
      <c r="H766" t="str">
        <f t="shared" si="68"/>
        <v>2008</v>
      </c>
      <c r="I766" t="str">
        <f>"Laulev revolutsioon"</f>
        <v>Laulev revolutsioon</v>
      </c>
      <c r="J766" t="str">
        <f>"Liivak, Sander"</f>
        <v>Liivak, Sander</v>
      </c>
      <c r="K766" t="str">
        <f>"Varrak, Tallinn"</f>
        <v>Varrak, Tallinn</v>
      </c>
      <c r="L766" t="str">
        <f>""</f>
        <v/>
      </c>
      <c r="M766" t="str">
        <f>"978-9985-3-1716-7"</f>
        <v>978-9985-3-1716-7</v>
      </c>
    </row>
    <row r="767" spans="1:13" ht="15">
      <c r="A767" t="s">
        <v>431</v>
      </c>
      <c r="B767" t="str">
        <f>"9943"</f>
        <v>9943</v>
      </c>
      <c r="C767" t="str">
        <f>"2006"</f>
        <v>2006</v>
      </c>
      <c r="D767" t="str">
        <f>"Parisuhdeastrologiaa"</f>
        <v>Parisuhdeastrologiaa</v>
      </c>
      <c r="E767" t="str">
        <f t="shared" si="67"/>
        <v>viro</v>
      </c>
      <c r="F767" t="str">
        <f>""</f>
        <v/>
      </c>
      <c r="G767" t="str">
        <f>"  täiskasvanud"</f>
        <v xml:space="preserve">  täiskasvanud</v>
      </c>
      <c r="H767" t="str">
        <f t="shared" si="68"/>
        <v>2008</v>
      </c>
      <c r="I767" t="str">
        <f>"Paarisuhte astroloogia"</f>
        <v>Paarisuhte astroloogia</v>
      </c>
      <c r="J767" t="str">
        <f>"Kivik, Maia"</f>
        <v>Kivik, Maia</v>
      </c>
      <c r="K767" t="str">
        <f>"Varrak, Tallinn"</f>
        <v>Varrak, Tallinn</v>
      </c>
      <c r="L767" t="str">
        <f>""</f>
        <v/>
      </c>
      <c r="M767" t="str">
        <f>"978-9985-3-1737-2"</f>
        <v>978-9985-3-1737-2</v>
      </c>
    </row>
    <row r="768" spans="1:13" ht="15">
      <c r="A768" t="s">
        <v>560</v>
      </c>
      <c r="B768" t="str">
        <f>"10143"</f>
        <v>10143</v>
      </c>
      <c r="C768" t="str">
        <f>"2003"</f>
        <v>2003</v>
      </c>
      <c r="D768" t="str">
        <f>"Juoppohullun päiväkirja. 3, Raskausarpia"</f>
        <v>Juoppohullun päiväkirja. 3, Raskausarpia</v>
      </c>
      <c r="E768" t="str">
        <f t="shared" si="67"/>
        <v>viro</v>
      </c>
      <c r="F768" t="str">
        <f>"romaanid; proosa"</f>
        <v>romaanid; proosa</v>
      </c>
      <c r="G768" t="str">
        <f>"  täiskasvanud"</f>
        <v xml:space="preserve">  täiskasvanud</v>
      </c>
      <c r="H768" t="str">
        <f t="shared" si="68"/>
        <v>2008</v>
      </c>
      <c r="I768" t="str">
        <f>"Rasedusarmid"</f>
        <v>Rasedusarmid</v>
      </c>
      <c r="J768" t="str">
        <f>"Mõisnik, Mihkel"</f>
        <v>Mõisnik, Mihkel</v>
      </c>
      <c r="K768" t="str">
        <f>"Hotger, Tallinn"</f>
        <v>Hotger, Tallinn</v>
      </c>
      <c r="L768" t="str">
        <f>""</f>
        <v/>
      </c>
      <c r="M768" t="str">
        <f>"978-9985-9850-6-9"</f>
        <v>978-9985-9850-6-9</v>
      </c>
    </row>
    <row r="769" spans="1:13" ht="15">
      <c r="A769" t="s">
        <v>563</v>
      </c>
      <c r="B769" t="str">
        <f>"10052"</f>
        <v>10052</v>
      </c>
      <c r="C769" t="str">
        <f>"1941"</f>
        <v>1941</v>
      </c>
      <c r="D769" t="str">
        <f>"Totuus Virosta, Latviasta ja Liettuasta"</f>
        <v>Totuus Virosta, Latviasta ja Liettuasta</v>
      </c>
      <c r="E769" t="str">
        <f t="shared" si="67"/>
        <v>viro</v>
      </c>
      <c r="F769" t="str">
        <f>""</f>
        <v/>
      </c>
      <c r="G769" t="str">
        <f>"  täiskasvanud"</f>
        <v xml:space="preserve">  täiskasvanud</v>
      </c>
      <c r="H769" t="str">
        <f t="shared" si="68"/>
        <v>2008</v>
      </c>
      <c r="I769" t="str">
        <f>"Tõde Eestist, Lätist ja Leedust"</f>
        <v>Tõde Eestist, Lätist ja Leedust</v>
      </c>
      <c r="J769" t="str">
        <f>"Kaaber, Ene"</f>
        <v>Kaaber, Ene</v>
      </c>
      <c r="K769" t="str">
        <f>"Varrak, Tallinn"</f>
        <v>Varrak, Tallinn</v>
      </c>
      <c r="L769" t="str">
        <f>""</f>
        <v/>
      </c>
      <c r="M769" t="str">
        <f>"978-9985-3-1715-0"</f>
        <v>978-9985-3-1715-0</v>
      </c>
    </row>
    <row r="770" spans="1:13" ht="15">
      <c r="A770" t="s">
        <v>30</v>
      </c>
      <c r="B770" t="str">
        <f>"10698"</f>
        <v>10698</v>
      </c>
      <c r="C770" t="str">
        <f>"2001"</f>
        <v>2001</v>
      </c>
      <c r="D770" t="str">
        <f>"Oskarin venekirja"</f>
        <v>Oskarin venekirja</v>
      </c>
      <c r="E770" t="str">
        <f t="shared" si="67"/>
        <v>viro</v>
      </c>
      <c r="F770" t="str">
        <f>""</f>
        <v/>
      </c>
      <c r="G770" t="str">
        <f>" lapsed ja noored"</f>
        <v xml:space="preserve"> lapsed ja noored</v>
      </c>
      <c r="H770" t="str">
        <f aca="true" t="shared" si="71" ref="H770:H800">"2009"</f>
        <v>2009</v>
      </c>
      <c r="I770" t="str">
        <f>"Oskari paadiraamat"</f>
        <v>Oskari paadiraamat</v>
      </c>
      <c r="J770" t="str">
        <f>""</f>
        <v/>
      </c>
      <c r="K770" t="str">
        <f>"Eesti Päevaleht, Tallinn"</f>
        <v>Eesti Päevaleht, Tallinn</v>
      </c>
      <c r="L770" t="str">
        <f>""</f>
        <v/>
      </c>
      <c r="M770" t="str">
        <f>"978-9949-452-38-5"</f>
        <v>978-9949-452-38-5</v>
      </c>
    </row>
    <row r="771" spans="1:13" ht="15">
      <c r="A771" t="s">
        <v>37</v>
      </c>
      <c r="B771" t="str">
        <f>"15172"</f>
        <v>15172</v>
      </c>
      <c r="C771" t="str">
        <f>"2008"</f>
        <v>2008</v>
      </c>
      <c r="D771" t="str">
        <f>"Pelastakaa pojat!"</f>
        <v>Pelastakaa pojat!</v>
      </c>
      <c r="E771" t="str">
        <f t="shared" si="67"/>
        <v>viro</v>
      </c>
      <c r="F771" t="str">
        <f>""</f>
        <v/>
      </c>
      <c r="G771" t="str">
        <f>"  täiskasvanud"</f>
        <v xml:space="preserve">  täiskasvanud</v>
      </c>
      <c r="H771" t="str">
        <f t="shared" si="71"/>
        <v>2009</v>
      </c>
      <c r="I771" t="str">
        <f>"Päästke poisid!"</f>
        <v>Päästke poisid!</v>
      </c>
      <c r="J771" t="str">
        <f>"Jaanits, Kadri"</f>
        <v>Jaanits, Kadri</v>
      </c>
      <c r="K771" t="str">
        <f>"Varrak, Tallinn"</f>
        <v>Varrak, Tallinn</v>
      </c>
      <c r="L771" t="str">
        <f>""</f>
        <v/>
      </c>
      <c r="M771" t="str">
        <f>""</f>
        <v/>
      </c>
    </row>
    <row r="772" spans="1:13" ht="15">
      <c r="A772" t="s">
        <v>70</v>
      </c>
      <c r="B772" t="str">
        <f>"15146"</f>
        <v>15146</v>
      </c>
      <c r="C772" t="str">
        <f>"2007"</f>
        <v>2007</v>
      </c>
      <c r="D772" t="str">
        <f>"Hans Kalm : vapaussoturi ja vaihtoehtolääkäri"</f>
        <v>Hans Kalm : vapaussoturi ja vaihtoehtolääkäri</v>
      </c>
      <c r="E772" t="str">
        <f t="shared" si="67"/>
        <v>viro</v>
      </c>
      <c r="F772" t="str">
        <f>""</f>
        <v/>
      </c>
      <c r="G772" t="str">
        <f>"  täiskasvanud"</f>
        <v xml:space="preserve">  täiskasvanud</v>
      </c>
      <c r="H772" t="str">
        <f t="shared" si="71"/>
        <v>2009</v>
      </c>
      <c r="I772" t="str">
        <f>"Hans Kalm"</f>
        <v>Hans Kalm</v>
      </c>
      <c r="J772" t="str">
        <f>"Kaaber, Ene"</f>
        <v>Kaaber, Ene</v>
      </c>
      <c r="K772" t="str">
        <f>"K &amp; K, Tallinn"</f>
        <v>K &amp; K, Tallinn</v>
      </c>
      <c r="L772" t="str">
        <f>""</f>
        <v/>
      </c>
      <c r="M772" t="str">
        <f>"9789985915264"</f>
        <v>9789985915264</v>
      </c>
    </row>
    <row r="773" spans="1:13" ht="15">
      <c r="A773" t="s">
        <v>73</v>
      </c>
      <c r="B773" t="str">
        <f>"16516"</f>
        <v>16516</v>
      </c>
      <c r="C773" t="str">
        <f>"2006"</f>
        <v>2006</v>
      </c>
      <c r="D773" t="str">
        <f>"Är det försent att förändras? : ...och andra frågor ur livet"</f>
        <v>Är det försent att förändras? : ...och andra frågor ur livet</v>
      </c>
      <c r="E773" t="str">
        <f>"viro, välikieli"</f>
        <v>viro, välikieli</v>
      </c>
      <c r="F773" t="str">
        <f>""</f>
        <v/>
      </c>
      <c r="G773" t="str">
        <f>"  täiskasvanud"</f>
        <v xml:space="preserve">  täiskasvanud</v>
      </c>
      <c r="H773" t="str">
        <f t="shared" si="71"/>
        <v>2009</v>
      </c>
      <c r="I773" t="str">
        <f>"Kolmas võimalus"</f>
        <v>Kolmas võimalus</v>
      </c>
      <c r="J773" t="str">
        <f>"Seppel, Ly"</f>
        <v>Seppel, Ly</v>
      </c>
      <c r="K773" t="str">
        <f>"Fontana Media, Helsinki"</f>
        <v>Fontana Media, Helsinki</v>
      </c>
      <c r="L773" t="str">
        <f>""</f>
        <v/>
      </c>
      <c r="M773" t="str">
        <f>"9789985995723"</f>
        <v>9789985995723</v>
      </c>
    </row>
    <row r="774" spans="1:13" ht="15">
      <c r="A774" t="s">
        <v>79</v>
      </c>
      <c r="B774" t="str">
        <f>"15411"</f>
        <v>15411</v>
      </c>
      <c r="C774" t="str">
        <f>"2008"</f>
        <v>2008</v>
      </c>
      <c r="D774" t="str">
        <f>"Elämää koulukiusaamisen jälkeen"</f>
        <v>Elämää koulukiusaamisen jälkeen</v>
      </c>
      <c r="E774" t="str">
        <f aca="true" t="shared" si="72" ref="E774:E837">"viro"</f>
        <v>viro</v>
      </c>
      <c r="F774" t="str">
        <f>""</f>
        <v/>
      </c>
      <c r="G774" t="str">
        <f>"  täiskasvanud"</f>
        <v xml:space="preserve">  täiskasvanud</v>
      </c>
      <c r="H774" t="str">
        <f t="shared" si="71"/>
        <v>2009</v>
      </c>
      <c r="I774" t="str">
        <f>"Elu pärast koolikiusamist"</f>
        <v>Elu pärast koolikiusamist</v>
      </c>
      <c r="J774" t="str">
        <f>"Väli, Anu"</f>
        <v>Väli, Anu</v>
      </c>
      <c r="K774" t="str">
        <f>"Pegasus, Tallinn"</f>
        <v>Pegasus, Tallinn</v>
      </c>
      <c r="L774" t="str">
        <f>""</f>
        <v/>
      </c>
      <c r="M774" t="str">
        <f>"978-9949-453-41-2"</f>
        <v>978-9949-453-41-2</v>
      </c>
    </row>
    <row r="775" spans="1:13" ht="15">
      <c r="A775" t="s">
        <v>100</v>
      </c>
      <c r="B775" t="str">
        <f>"14942"</f>
        <v>14942</v>
      </c>
      <c r="C775" t="str">
        <f>"2007"</f>
        <v>2007</v>
      </c>
      <c r="D775" t="str">
        <f>"Tarujen kirja : kansojen kertomuksia läheltä ja kaukaa"</f>
        <v>Tarujen kirja : kansojen kertomuksia läheltä ja kaukaa</v>
      </c>
      <c r="E775" t="str">
        <f t="shared" si="72"/>
        <v>viro</v>
      </c>
      <c r="F775" t="str">
        <f>"folkloor"</f>
        <v>folkloor</v>
      </c>
      <c r="G775" t="str">
        <f>"  täiskasvanud"</f>
        <v xml:space="preserve">  täiskasvanud</v>
      </c>
      <c r="H775" t="str">
        <f t="shared" si="71"/>
        <v>2009</v>
      </c>
      <c r="I775" t="str">
        <f>"Müütide raamat"</f>
        <v>Müütide raamat</v>
      </c>
      <c r="J775" t="str">
        <f>"Jaanits, Kadri"</f>
        <v>Jaanits, Kadri</v>
      </c>
      <c r="K775" t="str">
        <f>"Tänapäev, Tallinn"</f>
        <v>Tänapäev, Tallinn</v>
      </c>
      <c r="L775" t="str">
        <f>""</f>
        <v/>
      </c>
      <c r="M775" t="str">
        <f>"9789985627907"</f>
        <v>9789985627907</v>
      </c>
    </row>
    <row r="776" spans="1:13" ht="15">
      <c r="A776" t="s">
        <v>101</v>
      </c>
      <c r="B776" t="str">
        <f>"14942"</f>
        <v>14942</v>
      </c>
      <c r="C776" t="str">
        <f>"2007"</f>
        <v>2007</v>
      </c>
      <c r="D776" t="str">
        <f>"Tarujen kirja : kansojen kertomuksia läheltä ja kaukaa"</f>
        <v>Tarujen kirja : kansojen kertomuksia läheltä ja kaukaa</v>
      </c>
      <c r="E776" t="str">
        <f t="shared" si="72"/>
        <v>viro</v>
      </c>
      <c r="F776" t="str">
        <f>"folkloor"</f>
        <v>folkloor</v>
      </c>
      <c r="G776" t="str">
        <f>"  täiskasvanud"</f>
        <v xml:space="preserve">  täiskasvanud</v>
      </c>
      <c r="H776" t="str">
        <f t="shared" si="71"/>
        <v>2009</v>
      </c>
      <c r="I776" t="str">
        <f>"Müütide raamat"</f>
        <v>Müütide raamat</v>
      </c>
      <c r="J776" t="str">
        <f>"Jaanits, Kadri"</f>
        <v>Jaanits, Kadri</v>
      </c>
      <c r="K776" t="str">
        <f>"Tänapäev, Tallinn"</f>
        <v>Tänapäev, Tallinn</v>
      </c>
      <c r="L776" t="str">
        <f>""</f>
        <v/>
      </c>
      <c r="M776" t="str">
        <f>"9789985627907"</f>
        <v>9789985627907</v>
      </c>
    </row>
    <row r="777" spans="1:13" ht="15">
      <c r="A777" t="s">
        <v>116</v>
      </c>
      <c r="B777" t="str">
        <f>"14943"</f>
        <v>14943</v>
      </c>
      <c r="C777" t="str">
        <f>"2004"</f>
        <v>2004</v>
      </c>
      <c r="D777" t="str">
        <f>"Tyttö ja naakkapuu"</f>
        <v>Tyttö ja naakkapuu</v>
      </c>
      <c r="E777" t="str">
        <f t="shared" si="72"/>
        <v>viro</v>
      </c>
      <c r="F777" t="str">
        <f>"pildiraamatud"</f>
        <v>pildiraamatud</v>
      </c>
      <c r="G777" t="str">
        <f>" lapsed ja noored"</f>
        <v xml:space="preserve"> lapsed ja noored</v>
      </c>
      <c r="H777" t="str">
        <f t="shared" si="71"/>
        <v>2009</v>
      </c>
      <c r="I777" t="str">
        <f>"Tüdruk, puu ja taevalinnud"</f>
        <v>Tüdruk, puu ja taevalinnud</v>
      </c>
      <c r="J777" t="str">
        <f>"Ollisaar, Mare"</f>
        <v>Ollisaar, Mare</v>
      </c>
      <c r="K777" t="str">
        <f>"TEA Kirjastus, Tallinn"</f>
        <v>TEA Kirjastus, Tallinn</v>
      </c>
      <c r="L777" t="str">
        <f>""</f>
        <v/>
      </c>
      <c r="M777" t="str">
        <f>"9789985718988"</f>
        <v>9789985718988</v>
      </c>
    </row>
    <row r="778" spans="1:13" ht="15">
      <c r="A778" t="s">
        <v>117</v>
      </c>
      <c r="B778" t="str">
        <f>"11353"</f>
        <v>11353</v>
      </c>
      <c r="C778" t="str">
        <f>"1962"</f>
        <v>1962</v>
      </c>
      <c r="D778" t="str">
        <f>"Kometen kommer ; Farlig midsommar ; Det osynliga barnet och andra berättelser"</f>
        <v>Kometen kommer ; Farlig midsommar ; Det osynliga barnet och andra berättelser</v>
      </c>
      <c r="E778" t="str">
        <f t="shared" si="72"/>
        <v>viro</v>
      </c>
      <c r="F778" t="str">
        <f>"proosa"</f>
        <v>proosa</v>
      </c>
      <c r="G778" t="str">
        <f>"  täiskasvanud"</f>
        <v xml:space="preserve">  täiskasvanud</v>
      </c>
      <c r="H778" t="str">
        <f t="shared" si="71"/>
        <v>2009</v>
      </c>
      <c r="I778" t="str">
        <f>"Muumitroll. 2"</f>
        <v>Muumitroll. 2</v>
      </c>
      <c r="J778" t="str">
        <f>"Beekman, Vladimir, Sova, Elo"</f>
        <v>Beekman, Vladimir, Sova, Elo</v>
      </c>
      <c r="K778" t="str">
        <f>"Tiritamm, Tallinn"</f>
        <v>Tiritamm, Tallinn</v>
      </c>
      <c r="L778" t="str">
        <f>""</f>
        <v/>
      </c>
      <c r="M778" t="str">
        <f>"9789985552643"</f>
        <v>9789985552643</v>
      </c>
    </row>
    <row r="779" spans="1:13" ht="15">
      <c r="A779" t="s">
        <v>182</v>
      </c>
      <c r="B779" t="str">
        <f>"10018"</f>
        <v>10018</v>
      </c>
      <c r="C779" t="str">
        <f>"2007"</f>
        <v>2007</v>
      </c>
      <c r="D779" t="str">
        <f>"Kahden kauppa : kestävää parisuhdetta rakentamassa"</f>
        <v>Kahden kauppa : kestävää parisuhdetta rakentamassa</v>
      </c>
      <c r="E779" t="str">
        <f t="shared" si="72"/>
        <v>viro</v>
      </c>
      <c r="F779" t="str">
        <f>""</f>
        <v/>
      </c>
      <c r="G779" t="str">
        <f>"  täiskasvanud"</f>
        <v xml:space="preserve">  täiskasvanud</v>
      </c>
      <c r="H779" t="str">
        <f t="shared" si="71"/>
        <v>2009</v>
      </c>
      <c r="I779" t="str">
        <f>"Leivad ühes kapis"</f>
        <v>Leivad ühes kapis</v>
      </c>
      <c r="J779" t="str">
        <f>"Jaanus, Nelly"</f>
        <v>Jaanus, Nelly</v>
      </c>
      <c r="K779" t="str">
        <f>"Allika, Tallinn"</f>
        <v>Allika, Tallinn</v>
      </c>
      <c r="L779" t="str">
        <f>""</f>
        <v/>
      </c>
      <c r="M779" t="str">
        <f>"978-9985-9954-3-3"</f>
        <v>978-9985-9954-3-3</v>
      </c>
    </row>
    <row r="780" spans="1:13" ht="15">
      <c r="A780" t="s">
        <v>190</v>
      </c>
      <c r="B780" t="str">
        <f>"15172"</f>
        <v>15172</v>
      </c>
      <c r="C780" t="str">
        <f>"2008"</f>
        <v>2008</v>
      </c>
      <c r="D780" t="str">
        <f>"Pelastakaa pojat!"</f>
        <v>Pelastakaa pojat!</v>
      </c>
      <c r="E780" t="str">
        <f t="shared" si="72"/>
        <v>viro</v>
      </c>
      <c r="F780" t="str">
        <f>""</f>
        <v/>
      </c>
      <c r="G780" t="str">
        <f>"  täiskasvanud"</f>
        <v xml:space="preserve">  täiskasvanud</v>
      </c>
      <c r="H780" t="str">
        <f t="shared" si="71"/>
        <v>2009</v>
      </c>
      <c r="I780" t="str">
        <f>"Päästke poisid!"</f>
        <v>Päästke poisid!</v>
      </c>
      <c r="J780" t="str">
        <f>"Jaanits, Kadri"</f>
        <v>Jaanits, Kadri</v>
      </c>
      <c r="K780" t="str">
        <f>"Varrak, Tallinn"</f>
        <v>Varrak, Tallinn</v>
      </c>
      <c r="L780" t="str">
        <f>""</f>
        <v/>
      </c>
      <c r="M780" t="str">
        <f>""</f>
        <v/>
      </c>
    </row>
    <row r="781" spans="1:13" ht="15">
      <c r="A781" t="s">
        <v>203</v>
      </c>
      <c r="B781" t="str">
        <f>"10592"</f>
        <v>10592</v>
      </c>
      <c r="C781" t="str">
        <f>"2006"</f>
        <v>2006</v>
      </c>
      <c r="D781" t="str">
        <f>"Lehmä, jonka kyljessä oli luukku"</f>
        <v>Lehmä, jonka kyljessä oli luukku</v>
      </c>
      <c r="E781" t="str">
        <f t="shared" si="72"/>
        <v>viro</v>
      </c>
      <c r="F781" t="str">
        <f>"proosa"</f>
        <v>proosa</v>
      </c>
      <c r="G781" t="str">
        <f>" lapsed ja noored"</f>
        <v xml:space="preserve"> lapsed ja noored</v>
      </c>
      <c r="H781" t="str">
        <f t="shared" si="71"/>
        <v>2009</v>
      </c>
      <c r="I781" t="str">
        <f>"Luugiga lehm"</f>
        <v>Luugiga lehm</v>
      </c>
      <c r="J781" t="str">
        <f>"Kass, Kristiina"</f>
        <v>Kass, Kristiina</v>
      </c>
      <c r="K781" t="str">
        <f>"Petrone Print, [Tartu]"</f>
        <v>Petrone Print, [Tartu]</v>
      </c>
      <c r="L781" t="str">
        <f>""</f>
        <v/>
      </c>
      <c r="M781" t="str">
        <f>"978-9985-9996-1-5"</f>
        <v>978-9985-9996-1-5</v>
      </c>
    </row>
    <row r="782" spans="1:13" ht="15">
      <c r="A782" t="s">
        <v>288</v>
      </c>
      <c r="B782" t="str">
        <f>"10004"</f>
        <v>10004</v>
      </c>
      <c r="C782" t="str">
        <f>"2007"</f>
        <v>2007</v>
      </c>
      <c r="D782" t="str">
        <f>"Viimeiset viestit"</f>
        <v>Viimeiset viestit</v>
      </c>
      <c r="E782" t="str">
        <f t="shared" si="72"/>
        <v>viro</v>
      </c>
      <c r="F782" t="str">
        <f>"romaanid; proosa"</f>
        <v>romaanid; proosa</v>
      </c>
      <c r="G782" t="str">
        <f>"  täiskasvanud"</f>
        <v xml:space="preserve">  täiskasvanud</v>
      </c>
      <c r="H782" t="str">
        <f t="shared" si="71"/>
        <v>2009</v>
      </c>
      <c r="I782" t="str">
        <f>"Viimased sõnumid"</f>
        <v>Viimased sõnumid</v>
      </c>
      <c r="J782" t="str">
        <f>"Kotkas, Kersti-Mai"</f>
        <v>Kotkas, Kersti-Mai</v>
      </c>
      <c r="K782" t="str">
        <f>"Tammerraamat, Tallinn"</f>
        <v>Tammerraamat, Tallinn</v>
      </c>
      <c r="L782" t="str">
        <f>""</f>
        <v/>
      </c>
      <c r="M782" t="str">
        <f>"978-9949-449-20-0"</f>
        <v>978-9949-449-20-0</v>
      </c>
    </row>
    <row r="783" spans="1:13" ht="15">
      <c r="A783" t="s">
        <v>321</v>
      </c>
      <c r="B783" t="str">
        <f>"14944"</f>
        <v>14944</v>
      </c>
      <c r="C783" t="str">
        <f>"2007"</f>
        <v>2007</v>
      </c>
      <c r="D783" t="str">
        <f>"Casanova, eli, Giacomo Casanovan tie naisten miehestä kirjailijaksi"</f>
        <v>Casanova, eli, Giacomo Casanovan tie naisten miehestä kirjailijaksi</v>
      </c>
      <c r="E783" t="str">
        <f t="shared" si="72"/>
        <v>viro</v>
      </c>
      <c r="F783" t="str">
        <f>""</f>
        <v/>
      </c>
      <c r="G783" t="str">
        <f>"  täiskasvanud"</f>
        <v xml:space="preserve">  täiskasvanud</v>
      </c>
      <c r="H783" t="str">
        <f t="shared" si="71"/>
        <v>2009</v>
      </c>
      <c r="I783" t="str">
        <f>"Casanova, ehk, Giacomo Casanova tee naistemehest kirjanikuks"</f>
        <v>Casanova, ehk, Giacomo Casanova tee naistemehest kirjanikuks</v>
      </c>
      <c r="J783" t="str">
        <f>"Jaanits, Kadri"</f>
        <v>Jaanits, Kadri</v>
      </c>
      <c r="K783" t="str">
        <f>"Varrak, Tallinn"</f>
        <v>Varrak, Tallinn</v>
      </c>
      <c r="L783" t="str">
        <f>""</f>
        <v/>
      </c>
      <c r="M783" t="str">
        <f>"9789985318720"</f>
        <v>9789985318720</v>
      </c>
    </row>
    <row r="784" spans="1:13" ht="15">
      <c r="A784" t="s">
        <v>323</v>
      </c>
      <c r="B784" t="str">
        <f>"10431"</f>
        <v>10431</v>
      </c>
      <c r="C784" t="str">
        <f>"2004"</f>
        <v>2004</v>
      </c>
      <c r="D784" t="str">
        <f>"Huhtikuun tytöt"</f>
        <v>Huhtikuun tytöt</v>
      </c>
      <c r="E784" t="str">
        <f t="shared" si="72"/>
        <v>viro</v>
      </c>
      <c r="F784" t="str">
        <f>"romaanid; põnevus- ja krimikirjandus; proosa"</f>
        <v>romaanid; põnevus- ja krimikirjandus; proosa</v>
      </c>
      <c r="G784" t="str">
        <f>"  täiskasvanud"</f>
        <v xml:space="preserve">  täiskasvanud</v>
      </c>
      <c r="H784" t="str">
        <f t="shared" si="71"/>
        <v>2009</v>
      </c>
      <c r="I784" t="str">
        <f>"Aprillitüdrukud"</f>
        <v>Aprillitüdrukud</v>
      </c>
      <c r="J784" t="str">
        <f>"Ringeveld, Katrin"</f>
        <v>Ringeveld, Katrin</v>
      </c>
      <c r="K784" t="str">
        <f>"Eesti Raamat, Tallinn"</f>
        <v>Eesti Raamat, Tallinn</v>
      </c>
      <c r="L784" t="str">
        <f>""</f>
        <v/>
      </c>
      <c r="M784" t="str">
        <f>"978-9985-65-742-3"</f>
        <v>978-9985-65-742-3</v>
      </c>
    </row>
    <row r="785" spans="1:13" ht="15">
      <c r="A785" t="s">
        <v>330</v>
      </c>
      <c r="B785" t="str">
        <f>"14945"</f>
        <v>14945</v>
      </c>
      <c r="C785" t="str">
        <f>"1995"</f>
        <v>1995</v>
      </c>
      <c r="D785" t="str">
        <f>"Heinähattu ja Vilttitossu rosvojahdissa"</f>
        <v>Heinähattu ja Vilttitossu rosvojahdissa</v>
      </c>
      <c r="E785" t="str">
        <f t="shared" si="72"/>
        <v>viro</v>
      </c>
      <c r="F785" t="str">
        <f aca="true" t="shared" si="73" ref="F785:F790">"proosa"</f>
        <v>proosa</v>
      </c>
      <c r="G785" t="str">
        <f>" lapsed ja noored"</f>
        <v xml:space="preserve"> lapsed ja noored</v>
      </c>
      <c r="H785" t="str">
        <f t="shared" si="71"/>
        <v>2009</v>
      </c>
      <c r="I785" t="str">
        <f>"Heinakübar ja Viltsuss jahivad röövleid"</f>
        <v>Heinakübar ja Viltsuss jahivad röövleid</v>
      </c>
      <c r="J785" t="str">
        <f>"Grosberg, Reet"</f>
        <v>Grosberg, Reet</v>
      </c>
      <c r="K785" t="str">
        <f aca="true" t="shared" si="74" ref="K785:K790">"TEA Kirjastus, Tallinn"</f>
        <v>TEA Kirjastus, Tallinn</v>
      </c>
      <c r="L785" t="str">
        <f>""</f>
        <v/>
      </c>
      <c r="M785" t="str">
        <f>"9789985718414"</f>
        <v>9789985718414</v>
      </c>
    </row>
    <row r="786" spans="1:13" ht="15">
      <c r="A786" t="s">
        <v>330</v>
      </c>
      <c r="B786" t="str">
        <f>"14947"</f>
        <v>14947</v>
      </c>
      <c r="C786" t="str">
        <f>"2000"</f>
        <v>2000</v>
      </c>
      <c r="D786" t="str">
        <f>"Risto Räppääjä ja Nuudelipää"</f>
        <v>Risto Räppääjä ja Nuudelipää</v>
      </c>
      <c r="E786" t="str">
        <f t="shared" si="72"/>
        <v>viro</v>
      </c>
      <c r="F786" t="str">
        <f t="shared" si="73"/>
        <v>proosa</v>
      </c>
      <c r="G786" t="str">
        <f>" lapsed ja noored"</f>
        <v xml:space="preserve"> lapsed ja noored</v>
      </c>
      <c r="H786" t="str">
        <f t="shared" si="71"/>
        <v>2009</v>
      </c>
      <c r="I786" t="str">
        <f>"Risto Räppar ja Nuudlipea"</f>
        <v>Risto Räppar ja Nuudlipea</v>
      </c>
      <c r="J786" t="str">
        <f>"Kass, Kristiina"</f>
        <v>Kass, Kristiina</v>
      </c>
      <c r="K786" t="str">
        <f t="shared" si="74"/>
        <v>TEA Kirjastus, Tallinn</v>
      </c>
      <c r="L786" t="str">
        <f>""</f>
        <v/>
      </c>
      <c r="M786" t="str">
        <f>"9789985718407"</f>
        <v>9789985718407</v>
      </c>
    </row>
    <row r="787" spans="1:13" ht="15">
      <c r="A787" t="s">
        <v>330</v>
      </c>
      <c r="B787" t="str">
        <f>"14946"</f>
        <v>14946</v>
      </c>
      <c r="C787" t="str">
        <f>"2001"</f>
        <v>2001</v>
      </c>
      <c r="D787" t="str">
        <f>"Risto Räppääjä ja Pakastaja-Elvi"</f>
        <v>Risto Räppääjä ja Pakastaja-Elvi</v>
      </c>
      <c r="E787" t="str">
        <f t="shared" si="72"/>
        <v>viro</v>
      </c>
      <c r="F787" t="str">
        <f t="shared" si="73"/>
        <v>proosa</v>
      </c>
      <c r="G787" t="str">
        <f>" lapsed ja noored"</f>
        <v xml:space="preserve"> lapsed ja noored</v>
      </c>
      <c r="H787" t="str">
        <f t="shared" si="71"/>
        <v>2009</v>
      </c>
      <c r="I787" t="str">
        <f>"Risto Räppar ja külmutaja-Elvi"</f>
        <v>Risto Räppar ja külmutaja-Elvi</v>
      </c>
      <c r="J787" t="str">
        <f>"Kass, Kristiina"</f>
        <v>Kass, Kristiina</v>
      </c>
      <c r="K787" t="str">
        <f t="shared" si="74"/>
        <v>TEA Kirjastus, Tallinn</v>
      </c>
      <c r="L787" t="str">
        <f>""</f>
        <v/>
      </c>
      <c r="M787" t="str">
        <f>"9789985719091"</f>
        <v>9789985719091</v>
      </c>
    </row>
    <row r="788" spans="1:13" ht="15">
      <c r="A788" t="s">
        <v>331</v>
      </c>
      <c r="B788" t="str">
        <f>"14945"</f>
        <v>14945</v>
      </c>
      <c r="C788" t="str">
        <f>"1995"</f>
        <v>1995</v>
      </c>
      <c r="D788" t="str">
        <f>"Heinähattu ja Vilttitossu rosvojahdissa"</f>
        <v>Heinähattu ja Vilttitossu rosvojahdissa</v>
      </c>
      <c r="E788" t="str">
        <f t="shared" si="72"/>
        <v>viro</v>
      </c>
      <c r="F788" t="str">
        <f t="shared" si="73"/>
        <v>proosa</v>
      </c>
      <c r="G788" t="str">
        <f>" lapsed ja noored"</f>
        <v xml:space="preserve"> lapsed ja noored</v>
      </c>
      <c r="H788" t="str">
        <f t="shared" si="71"/>
        <v>2009</v>
      </c>
      <c r="I788" t="str">
        <f>"Heinakübar ja Viltsuss jahivad röövleid"</f>
        <v>Heinakübar ja Viltsuss jahivad röövleid</v>
      </c>
      <c r="J788" t="str">
        <f>"Grosberg, Reet"</f>
        <v>Grosberg, Reet</v>
      </c>
      <c r="K788" t="str">
        <f t="shared" si="74"/>
        <v>TEA Kirjastus, Tallinn</v>
      </c>
      <c r="L788" t="str">
        <f>""</f>
        <v/>
      </c>
      <c r="M788" t="str">
        <f>"9789985718414"</f>
        <v>9789985718414</v>
      </c>
    </row>
    <row r="789" spans="1:13" ht="15">
      <c r="A789" t="s">
        <v>331</v>
      </c>
      <c r="B789" t="str">
        <f>"14947"</f>
        <v>14947</v>
      </c>
      <c r="C789" t="str">
        <f>"2000"</f>
        <v>2000</v>
      </c>
      <c r="D789" t="str">
        <f>"Risto Räppääjä ja Nuudelipää"</f>
        <v>Risto Räppääjä ja Nuudelipää</v>
      </c>
      <c r="E789" t="str">
        <f t="shared" si="72"/>
        <v>viro</v>
      </c>
      <c r="F789" t="str">
        <f t="shared" si="73"/>
        <v>proosa</v>
      </c>
      <c r="G789" t="str">
        <f>" lapsed ja noored"</f>
        <v xml:space="preserve"> lapsed ja noored</v>
      </c>
      <c r="H789" t="str">
        <f t="shared" si="71"/>
        <v>2009</v>
      </c>
      <c r="I789" t="str">
        <f>"Risto Räppar ja Nuudlipea"</f>
        <v>Risto Räppar ja Nuudlipea</v>
      </c>
      <c r="J789" t="str">
        <f>"Kass, Kristiina"</f>
        <v>Kass, Kristiina</v>
      </c>
      <c r="K789" t="str">
        <f t="shared" si="74"/>
        <v>TEA Kirjastus, Tallinn</v>
      </c>
      <c r="L789" t="str">
        <f>""</f>
        <v/>
      </c>
      <c r="M789" t="str">
        <f>"9789985718407"</f>
        <v>9789985718407</v>
      </c>
    </row>
    <row r="790" spans="1:13" ht="15">
      <c r="A790" t="s">
        <v>331</v>
      </c>
      <c r="B790" t="str">
        <f>"14946"</f>
        <v>14946</v>
      </c>
      <c r="C790" t="str">
        <f>"2001"</f>
        <v>2001</v>
      </c>
      <c r="D790" t="str">
        <f>"Risto Räppääjä ja Pakastaja-Elvi"</f>
        <v>Risto Räppääjä ja Pakastaja-Elvi</v>
      </c>
      <c r="E790" t="str">
        <f t="shared" si="72"/>
        <v>viro</v>
      </c>
      <c r="F790" t="str">
        <f t="shared" si="73"/>
        <v>proosa</v>
      </c>
      <c r="G790" t="str">
        <f>" lapsed ja noored"</f>
        <v xml:space="preserve"> lapsed ja noored</v>
      </c>
      <c r="H790" t="str">
        <f t="shared" si="71"/>
        <v>2009</v>
      </c>
      <c r="I790" t="str">
        <f>"Risto Räppar ja külmutaja-Elvi"</f>
        <v>Risto Räppar ja külmutaja-Elvi</v>
      </c>
      <c r="J790" t="str">
        <f>"Kass, Kristiina"</f>
        <v>Kass, Kristiina</v>
      </c>
      <c r="K790" t="str">
        <f t="shared" si="74"/>
        <v>TEA Kirjastus, Tallinn</v>
      </c>
      <c r="L790" t="str">
        <f>""</f>
        <v/>
      </c>
      <c r="M790" t="str">
        <f>"9789985719091"</f>
        <v>9789985719091</v>
      </c>
    </row>
    <row r="791" spans="1:13" ht="15">
      <c r="A791" t="s">
        <v>346</v>
      </c>
      <c r="B791" t="str">
        <f>"10070"</f>
        <v>10070</v>
      </c>
      <c r="C791" t="str">
        <f>"2008"</f>
        <v>2008</v>
      </c>
      <c r="D791" t="str">
        <f>"Puhdistus : romaani"</f>
        <v>Puhdistus : romaani</v>
      </c>
      <c r="E791" t="str">
        <f t="shared" si="72"/>
        <v>viro</v>
      </c>
      <c r="F791" t="str">
        <f>"romaanid; proosa"</f>
        <v>romaanid; proosa</v>
      </c>
      <c r="G791" t="str">
        <f>"  täiskasvanud"</f>
        <v xml:space="preserve">  täiskasvanud</v>
      </c>
      <c r="H791" t="str">
        <f t="shared" si="71"/>
        <v>2009</v>
      </c>
      <c r="I791" t="str">
        <f>"Puhastus"</f>
        <v>Puhastus</v>
      </c>
      <c r="J791" t="str">
        <f>"Kaus, Jan"</f>
        <v>Kaus, Jan</v>
      </c>
      <c r="K791" t="str">
        <f>"Varrak, Tallinn"</f>
        <v>Varrak, Tallinn</v>
      </c>
      <c r="L791" t="str">
        <f>""</f>
        <v/>
      </c>
      <c r="M791" t="str">
        <f>"978-9985-3-1858-4"</f>
        <v>978-9985-3-1858-4</v>
      </c>
    </row>
    <row r="792" spans="1:13" ht="15">
      <c r="A792" t="s">
        <v>359</v>
      </c>
      <c r="B792" t="str">
        <f>"10593"</f>
        <v>10593</v>
      </c>
      <c r="C792" t="str">
        <f>"1936"</f>
        <v>1936</v>
      </c>
      <c r="D792" t="str">
        <f>"Kolmannen valtakunnan vieraana : rapsodia"</f>
        <v>Kolmannen valtakunnan vieraana : rapsodia</v>
      </c>
      <c r="E792" t="str">
        <f t="shared" si="72"/>
        <v>viro</v>
      </c>
      <c r="F792" t="str">
        <f>""</f>
        <v/>
      </c>
      <c r="G792" t="str">
        <f>"  täiskasvanud"</f>
        <v xml:space="preserve">  täiskasvanud</v>
      </c>
      <c r="H792" t="str">
        <f t="shared" si="71"/>
        <v>2009</v>
      </c>
      <c r="I792" t="str">
        <f>"Külalisena Kolmandas Reich'is : rapsoodia"</f>
        <v>Külalisena Kolmandas Reich'is : rapsoodia</v>
      </c>
      <c r="J792" t="str">
        <f>"Saluri, Piret"</f>
        <v>Saluri, Piret</v>
      </c>
      <c r="K792" t="str">
        <f>"Kultuurileht, Tallinn"</f>
        <v>Kultuurileht, Tallinn</v>
      </c>
      <c r="L792" t="str">
        <f>""</f>
        <v/>
      </c>
      <c r="M792" t="str">
        <f>"978-9949-428-58-8"</f>
        <v>978-9949-428-58-8</v>
      </c>
    </row>
    <row r="793" spans="1:13" ht="15">
      <c r="A793" t="s">
        <v>392</v>
      </c>
      <c r="B793" t="str">
        <f>"9998"</f>
        <v>9998</v>
      </c>
      <c r="C793" t="str">
        <f>"2006"</f>
        <v>2006</v>
      </c>
      <c r="D793" t="str">
        <f>"Raja"</f>
        <v>Raja</v>
      </c>
      <c r="E793" t="str">
        <f t="shared" si="72"/>
        <v>viro</v>
      </c>
      <c r="F793" t="str">
        <f>"romaanid; proosa"</f>
        <v>romaanid; proosa</v>
      </c>
      <c r="G793" t="str">
        <f>"  täiskasvanud"</f>
        <v xml:space="preserve">  täiskasvanud</v>
      </c>
      <c r="H793" t="str">
        <f t="shared" si="71"/>
        <v>2009</v>
      </c>
      <c r="I793" t="str">
        <f>"Piir"</f>
        <v>Piir</v>
      </c>
      <c r="J793" t="str">
        <f>"Pais, Monika"</f>
        <v>Pais, Monika</v>
      </c>
      <c r="K793" t="str">
        <f>"Pegasus, Tallinn"</f>
        <v>Pegasus, Tallinn</v>
      </c>
      <c r="L793" t="str">
        <f>""</f>
        <v/>
      </c>
      <c r="M793" t="str">
        <f>"978-9949-442-50-8"</f>
        <v>978-9949-442-50-8</v>
      </c>
    </row>
    <row r="794" spans="1:13" ht="15">
      <c r="A794" t="s">
        <v>446</v>
      </c>
      <c r="B794" t="str">
        <f>"10001"</f>
        <v>10001</v>
      </c>
      <c r="C794" t="str">
        <f>"2008"</f>
        <v>2008</v>
      </c>
      <c r="D794" t="str">
        <f>"Sivistystahto : Jaan Kross, hänen teoksensa ja virolaisuus"</f>
        <v>Sivistystahto : Jaan Kross, hänen teoksensa ja virolaisuus</v>
      </c>
      <c r="E794" t="str">
        <f t="shared" si="72"/>
        <v>viro</v>
      </c>
      <c r="F794" t="str">
        <f>""</f>
        <v/>
      </c>
      <c r="G794" t="str">
        <f>"  täiskasvanud"</f>
        <v xml:space="preserve">  täiskasvanud</v>
      </c>
      <c r="H794" t="str">
        <f t="shared" si="71"/>
        <v>2009</v>
      </c>
      <c r="I794" t="str">
        <f>"Jaan Kross"</f>
        <v>Jaan Kross</v>
      </c>
      <c r="J794" t="str">
        <f>"Saluri, Piret"</f>
        <v>Saluri, Piret</v>
      </c>
      <c r="K794" t="str">
        <f>"Eesti Keele Sihtasutus, Tallinn"</f>
        <v>Eesti Keele Sihtasutus, Tallinn</v>
      </c>
      <c r="L794" t="str">
        <f>""</f>
        <v/>
      </c>
      <c r="M794" t="str">
        <f>"978-9985-79-266-7"</f>
        <v>978-9985-79-266-7</v>
      </c>
    </row>
    <row r="795" spans="1:13" ht="15">
      <c r="A795" t="s">
        <v>462</v>
      </c>
      <c r="B795" t="str">
        <f>"10020"</f>
        <v>10020</v>
      </c>
      <c r="C795" t="str">
        <f>"2007"</f>
        <v>2007</v>
      </c>
      <c r="D795" t="str">
        <f>"Terve ääni : äänen hoidon ABC"</f>
        <v>Terve ääni : äänen hoidon ABC</v>
      </c>
      <c r="E795" t="str">
        <f t="shared" si="72"/>
        <v>viro</v>
      </c>
      <c r="F795" t="str">
        <f>""</f>
        <v/>
      </c>
      <c r="G795" t="str">
        <f>"  täiskasvanud"</f>
        <v xml:space="preserve">  täiskasvanud</v>
      </c>
      <c r="H795" t="str">
        <f t="shared" si="71"/>
        <v>2009</v>
      </c>
      <c r="I795" t="str">
        <f>"Terve hääl"</f>
        <v>Terve hääl</v>
      </c>
      <c r="J795" t="str">
        <f>"Salumäe, Kaire"</f>
        <v>Salumäe, Kaire</v>
      </c>
      <c r="K795" t="str">
        <f>"Medicina, Tallinn"</f>
        <v>Medicina, Tallinn</v>
      </c>
      <c r="L795" t="str">
        <f>""</f>
        <v/>
      </c>
      <c r="M795" t="str">
        <f>"978-9985-829-88-2"</f>
        <v>978-9985-829-88-2</v>
      </c>
    </row>
    <row r="796" spans="1:13" ht="15">
      <c r="A796" t="s">
        <v>467</v>
      </c>
      <c r="B796" t="str">
        <f>"10819"</f>
        <v>10819</v>
      </c>
      <c r="C796" t="str">
        <f>"2008"</f>
        <v>2008</v>
      </c>
      <c r="D796" t="str">
        <f>"Salaiset aseveljet : Suomen ja Saksan turvallisuuspoliisiyhteistyö 1933-1944"</f>
        <v>Salaiset aseveljet : Suomen ja Saksan turvallisuuspoliisiyhteistyö 1933-1944</v>
      </c>
      <c r="E796" t="str">
        <f t="shared" si="72"/>
        <v>viro</v>
      </c>
      <c r="F796" t="str">
        <f>""</f>
        <v/>
      </c>
      <c r="G796" t="str">
        <f>"  täiskasvanud"</f>
        <v xml:space="preserve">  täiskasvanud</v>
      </c>
      <c r="H796" t="str">
        <f t="shared" si="71"/>
        <v>2009</v>
      </c>
      <c r="I796" t="str">
        <f>"Salajased relvavennad"</f>
        <v>Salajased relvavennad</v>
      </c>
      <c r="J796" t="str">
        <f>"Anupõld, Elle-Mall"</f>
        <v>Anupõld, Elle-Mall</v>
      </c>
      <c r="K796" t="str">
        <f>"Olion, Tallinn"</f>
        <v>Olion, Tallinn</v>
      </c>
      <c r="L796" t="str">
        <f>""</f>
        <v/>
      </c>
      <c r="M796" t="str">
        <f>"9789985666012"</f>
        <v>9789985666012</v>
      </c>
    </row>
    <row r="797" spans="1:13" ht="15">
      <c r="A797" t="s">
        <v>560</v>
      </c>
      <c r="B797" t="str">
        <f>"15129"</f>
        <v>15129</v>
      </c>
      <c r="C797" t="str">
        <f>"2005"</f>
        <v>2005</v>
      </c>
      <c r="D797" t="str">
        <f>"Juoppohullun päiväkirja. Osa 4, Vaippaihottuma"</f>
        <v>Juoppohullun päiväkirja. Osa 4, Vaippaihottuma</v>
      </c>
      <c r="E797" t="str">
        <f t="shared" si="72"/>
        <v>viro</v>
      </c>
      <c r="F797" t="str">
        <f>"romaanid; proosa"</f>
        <v>romaanid; proosa</v>
      </c>
      <c r="G797" t="str">
        <f>"  täiskasvanud"</f>
        <v xml:space="preserve">  täiskasvanud</v>
      </c>
      <c r="H797" t="str">
        <f t="shared" si="71"/>
        <v>2009</v>
      </c>
      <c r="I797" t="str">
        <f>"Mähkmelööve"</f>
        <v>Mähkmelööve</v>
      </c>
      <c r="J797" t="str">
        <f>"Mõisnik, Mihkel"</f>
        <v>Mõisnik, Mihkel</v>
      </c>
      <c r="K797" t="str">
        <f>"Hotger, Tallinn"</f>
        <v>Hotger, Tallinn</v>
      </c>
      <c r="L797" t="str">
        <f>""</f>
        <v/>
      </c>
      <c r="M797" t="str">
        <f>"9789985993392"</f>
        <v>9789985993392</v>
      </c>
    </row>
    <row r="798" spans="1:13" ht="15">
      <c r="A798" t="s">
        <v>560</v>
      </c>
      <c r="B798" t="str">
        <f>"15131"</f>
        <v>15131</v>
      </c>
      <c r="C798" t="str">
        <f>"2004"</f>
        <v>2004</v>
      </c>
      <c r="D798" t="str">
        <f>"Kristianin nuoruusvuodet"</f>
        <v>Kristianin nuoruusvuodet</v>
      </c>
      <c r="E798" t="str">
        <f t="shared" si="72"/>
        <v>viro</v>
      </c>
      <c r="F798" t="str">
        <f>"romaanid; proosa"</f>
        <v>romaanid; proosa</v>
      </c>
      <c r="G798" t="str">
        <f>"  täiskasvanud"</f>
        <v xml:space="preserve">  täiskasvanud</v>
      </c>
      <c r="H798" t="str">
        <f t="shared" si="71"/>
        <v>2009</v>
      </c>
      <c r="I798" t="str">
        <f>"Kristiani noorusaastad"</f>
        <v>Kristiani noorusaastad</v>
      </c>
      <c r="J798" t="str">
        <f>"Mõisnik, Mihkel"</f>
        <v>Mõisnik, Mihkel</v>
      </c>
      <c r="K798" t="str">
        <f>"Hotger, Tallinn"</f>
        <v>Hotger, Tallinn</v>
      </c>
      <c r="L798" t="str">
        <f>""</f>
        <v/>
      </c>
      <c r="M798" t="str">
        <f>"9789985993361"</f>
        <v>9789985993361</v>
      </c>
    </row>
    <row r="799" spans="1:13" ht="15">
      <c r="A799" t="s">
        <v>563</v>
      </c>
      <c r="B799" t="str">
        <f>"10598"</f>
        <v>10598</v>
      </c>
      <c r="C799" t="str">
        <f>"1945"</f>
        <v>1945</v>
      </c>
      <c r="D799" t="str">
        <f>"Sinuhe egyptiläinen"</f>
        <v>Sinuhe egyptiläinen</v>
      </c>
      <c r="E799" t="str">
        <f t="shared" si="72"/>
        <v>viro</v>
      </c>
      <c r="F799" t="str">
        <f>"romaanid; proosa"</f>
        <v>romaanid; proosa</v>
      </c>
      <c r="G799" t="str">
        <f>"  täiskasvanud"</f>
        <v xml:space="preserve">  täiskasvanud</v>
      </c>
      <c r="H799" t="str">
        <f t="shared" si="71"/>
        <v>2009</v>
      </c>
      <c r="I799" t="str">
        <f>"Sinuhe, egiptlane"</f>
        <v>Sinuhe, egiptlane</v>
      </c>
      <c r="J799" t="str">
        <f>"Saluri, Piret"</f>
        <v>Saluri, Piret</v>
      </c>
      <c r="K799" t="str">
        <f>"Varrak, Tallinn"</f>
        <v>Varrak, Tallinn</v>
      </c>
      <c r="L799" t="str">
        <f>""</f>
        <v/>
      </c>
      <c r="M799" t="str">
        <f>"978-9985-3-1983-3"</f>
        <v>978-9985-3-1983-3</v>
      </c>
    </row>
    <row r="800" spans="1:13" ht="15">
      <c r="A800" t="s">
        <v>572</v>
      </c>
      <c r="B800" t="str">
        <f>"10614"</f>
        <v>10614</v>
      </c>
      <c r="C800" t="str">
        <f>"2007"</f>
        <v>2007</v>
      </c>
      <c r="D800" t="str">
        <f>"Viron historia"</f>
        <v>Viron historia</v>
      </c>
      <c r="E800" t="str">
        <f t="shared" si="72"/>
        <v>viro</v>
      </c>
      <c r="F800" t="str">
        <f>""</f>
        <v/>
      </c>
      <c r="G800" t="str">
        <f>"  täiskasvanud"</f>
        <v xml:space="preserve">  täiskasvanud</v>
      </c>
      <c r="H800" t="str">
        <f t="shared" si="71"/>
        <v>2009</v>
      </c>
      <c r="I800" t="str">
        <f>"Eesti ajalugu"</f>
        <v>Eesti ajalugu</v>
      </c>
      <c r="J800" t="str">
        <f>"Bahovski, Erkki, Berg, Maimu, Kokla, Paul, Laanpere, Helga"</f>
        <v>Bahovski, Erkki, Berg, Maimu, Kokla, Paul, Laanpere, Helga</v>
      </c>
      <c r="K800" t="str">
        <f>"Tänapäev, Tallinn"</f>
        <v>Tänapäev, Tallinn</v>
      </c>
      <c r="L800" t="str">
        <f>""</f>
        <v/>
      </c>
      <c r="M800" t="str">
        <f>"978-9985-62-827-0"</f>
        <v>978-9985-62-827-0</v>
      </c>
    </row>
    <row r="801" spans="2:13" ht="15">
      <c r="B801" t="str">
        <f>"18262"</f>
        <v>18262</v>
      </c>
      <c r="C801" t="str">
        <f>"2004"</f>
        <v>2004</v>
      </c>
      <c r="D801" t="str">
        <f>"Hei beibi, mä oon tulta! : nuoren oma seksikirja"</f>
        <v>Hei beibi, mä oon tulta! : nuoren oma seksikirja</v>
      </c>
      <c r="E801" t="str">
        <f t="shared" si="72"/>
        <v>viro</v>
      </c>
      <c r="F801" t="str">
        <f>""</f>
        <v/>
      </c>
      <c r="G801" t="str">
        <f>" lapsed ja noored"</f>
        <v xml:space="preserve"> lapsed ja noored</v>
      </c>
      <c r="H801" t="str">
        <f aca="true" t="shared" si="75" ref="H801:H823">"2010"</f>
        <v>2010</v>
      </c>
      <c r="I801" t="str">
        <f>"Nii kuum on tunne! : noorte oma seksiraamat"</f>
        <v>Nii kuum on tunne! : noorte oma seksiraamat</v>
      </c>
      <c r="J801" t="str">
        <f>"Jaanits, Kadri"</f>
        <v>Jaanits, Kadri</v>
      </c>
      <c r="K801" t="str">
        <f>"Menu, Tallinn"</f>
        <v>Menu, Tallinn</v>
      </c>
      <c r="L801" t="str">
        <f>""</f>
        <v/>
      </c>
      <c r="M801" t="str">
        <f>"9789949904938"</f>
        <v>9789949904938</v>
      </c>
    </row>
    <row r="802" spans="2:13" ht="15">
      <c r="B802" t="str">
        <f>"16642"</f>
        <v>16642</v>
      </c>
      <c r="C802" t="str">
        <f>"2009"</f>
        <v>2009</v>
      </c>
      <c r="D802" t="str">
        <f>"Ihmisen lähellä : hengellisyys hoitotyössä"</f>
        <v>Ihmisen lähellä : hengellisyys hoitotyössä</v>
      </c>
      <c r="E802" t="str">
        <f t="shared" si="72"/>
        <v>viro</v>
      </c>
      <c r="F802" t="str">
        <f>""</f>
        <v/>
      </c>
      <c r="G802" t="str">
        <f>"  täiskasvanud"</f>
        <v xml:space="preserve">  täiskasvanud</v>
      </c>
      <c r="H802" t="str">
        <f t="shared" si="75"/>
        <v>2010</v>
      </c>
      <c r="I802" t="str">
        <f>"Inimese kõrval"</f>
        <v>Inimese kõrval</v>
      </c>
      <c r="J802" t="str">
        <f>"Oras, Urmas"</f>
        <v>Oras, Urmas</v>
      </c>
      <c r="K802" t="str">
        <f>"Eesti Evangeelse Luterliku Kiriku Usuteaduse Instituut, Tallinn"</f>
        <v>Eesti Evangeelse Luterliku Kiriku Usuteaduse Instituut, Tallinn</v>
      </c>
      <c r="L802" t="str">
        <f>""</f>
        <v/>
      </c>
      <c r="M802" t="str">
        <f>"9789949906512"</f>
        <v>9789949906512</v>
      </c>
    </row>
    <row r="803" spans="1:13" ht="15">
      <c r="A803" t="s">
        <v>37</v>
      </c>
      <c r="B803" t="str">
        <f>"15524"</f>
        <v>15524</v>
      </c>
      <c r="C803" t="str">
        <f>"2008"</f>
        <v>2008</v>
      </c>
      <c r="D803" t="str">
        <f>"Miten tuen lapsen ja nuoren itsetuntoa"</f>
        <v>Miten tuen lapsen ja nuoren itsetuntoa</v>
      </c>
      <c r="E803" t="str">
        <f t="shared" si="72"/>
        <v>viro</v>
      </c>
      <c r="F803" t="str">
        <f>""</f>
        <v/>
      </c>
      <c r="G803" t="str">
        <f>"  täiskasvanud"</f>
        <v xml:space="preserve">  täiskasvanud</v>
      </c>
      <c r="H803" t="str">
        <f t="shared" si="75"/>
        <v>2010</v>
      </c>
      <c r="I803" t="str">
        <f>"Kuidas toetada laste ja noorte enesehinnangut"</f>
        <v>Kuidas toetada laste ja noorte enesehinnangut</v>
      </c>
      <c r="J803" t="str">
        <f>"Kotkas, Kersti-Mai"</f>
        <v>Kotkas, Kersti-Mai</v>
      </c>
      <c r="K803" t="str">
        <f>"Varrak, Tallinn"</f>
        <v>Varrak, Tallinn</v>
      </c>
      <c r="L803" t="str">
        <f>""</f>
        <v/>
      </c>
      <c r="M803" t="str">
        <f>"978-9985-3-2094-5"</f>
        <v>978-9985-3-2094-5</v>
      </c>
    </row>
    <row r="804" spans="1:13" ht="15">
      <c r="A804" t="s">
        <v>90</v>
      </c>
      <c r="B804" t="str">
        <f>"15524"</f>
        <v>15524</v>
      </c>
      <c r="C804" t="str">
        <f>"2008"</f>
        <v>2008</v>
      </c>
      <c r="D804" t="str">
        <f>"Miten tuen lapsen ja nuoren itsetuntoa"</f>
        <v>Miten tuen lapsen ja nuoren itsetuntoa</v>
      </c>
      <c r="E804" t="str">
        <f t="shared" si="72"/>
        <v>viro</v>
      </c>
      <c r="F804" t="str">
        <f>""</f>
        <v/>
      </c>
      <c r="G804" t="str">
        <f>"  täiskasvanud"</f>
        <v xml:space="preserve">  täiskasvanud</v>
      </c>
      <c r="H804" t="str">
        <f t="shared" si="75"/>
        <v>2010</v>
      </c>
      <c r="I804" t="str">
        <f>"Kuidas toetada laste ja noorte enesehinnangut"</f>
        <v>Kuidas toetada laste ja noorte enesehinnangut</v>
      </c>
      <c r="J804" t="str">
        <f>"Kotkas, Kersti-Mai"</f>
        <v>Kotkas, Kersti-Mai</v>
      </c>
      <c r="K804" t="str">
        <f>"Varrak, Tallinn"</f>
        <v>Varrak, Tallinn</v>
      </c>
      <c r="L804" t="str">
        <f>""</f>
        <v/>
      </c>
      <c r="M804" t="str">
        <f>"978-9985-3-2094-5"</f>
        <v>978-9985-3-2094-5</v>
      </c>
    </row>
    <row r="805" spans="1:13" ht="15">
      <c r="A805" t="s">
        <v>92</v>
      </c>
      <c r="B805" t="str">
        <f>"10949"</f>
        <v>10949</v>
      </c>
      <c r="C805" t="str">
        <f>"2007"</f>
        <v>2007</v>
      </c>
      <c r="D805" t="str">
        <f>"Pojan kuolema"</f>
        <v>Pojan kuolema</v>
      </c>
      <c r="E805" t="str">
        <f t="shared" si="72"/>
        <v>viro</v>
      </c>
      <c r="F805" t="str">
        <f>""</f>
        <v/>
      </c>
      <c r="G805" t="str">
        <f>"  täiskasvanud"</f>
        <v xml:space="preserve">  täiskasvanud</v>
      </c>
      <c r="H805" t="str">
        <f t="shared" si="75"/>
        <v>2010</v>
      </c>
      <c r="I805" t="str">
        <f>"Poja surm"</f>
        <v>Poja surm</v>
      </c>
      <c r="J805" t="str">
        <f>"Põldmäe, Asta"</f>
        <v>Põldmäe, Asta</v>
      </c>
      <c r="K805" t="str">
        <f>"Kultuurileht, Tallinn"</f>
        <v>Kultuurileht, Tallinn</v>
      </c>
      <c r="L805" t="str">
        <f>""</f>
        <v/>
      </c>
      <c r="M805" t="str">
        <f>"978-9949-428-67-0"</f>
        <v>978-9949-428-67-0</v>
      </c>
    </row>
    <row r="806" spans="1:13" ht="15">
      <c r="A806" t="s">
        <v>95</v>
      </c>
      <c r="B806" t="str">
        <f>"11067"</f>
        <v>11067</v>
      </c>
      <c r="C806" t="str">
        <f>"1999"</f>
        <v>1999</v>
      </c>
      <c r="D806" t="str">
        <f>"Aitta : romaani"</f>
        <v>Aitta : romaani</v>
      </c>
      <c r="E806" t="str">
        <f t="shared" si="72"/>
        <v>viro</v>
      </c>
      <c r="F806" t="str">
        <f>"romaanid; proosa"</f>
        <v>romaanid; proosa</v>
      </c>
      <c r="G806" t="str">
        <f>"  täiskasvanud"</f>
        <v xml:space="preserve">  täiskasvanud</v>
      </c>
      <c r="H806" t="str">
        <f t="shared" si="75"/>
        <v>2010</v>
      </c>
      <c r="I806" t="str">
        <f>"Ait"</f>
        <v>Ait</v>
      </c>
      <c r="J806" t="str">
        <f>"Saluri, Piret"</f>
        <v>Saluri, Piret</v>
      </c>
      <c r="K806" t="str">
        <f>"Kultuurileht, Tallinn"</f>
        <v>Kultuurileht, Tallinn</v>
      </c>
      <c r="L806" t="str">
        <f>""</f>
        <v/>
      </c>
      <c r="M806" t="str">
        <f>""</f>
        <v/>
      </c>
    </row>
    <row r="807" spans="1:13" ht="15">
      <c r="A807" t="s">
        <v>117</v>
      </c>
      <c r="B807" t="str">
        <f>"11348"</f>
        <v>11348</v>
      </c>
      <c r="C807" t="str">
        <f>"2003"</f>
        <v>2003</v>
      </c>
      <c r="D807" t="str">
        <f>"Muumimamman mietekirja"</f>
        <v>Muumimamman mietekirja</v>
      </c>
      <c r="E807" t="str">
        <f t="shared" si="72"/>
        <v>viro</v>
      </c>
      <c r="F807" t="str">
        <f>"aforismid. tsitaadid; proosa"</f>
        <v>aforismid. tsitaadid; proosa</v>
      </c>
      <c r="G807" t="str">
        <f>" lapsed ja noored"</f>
        <v xml:space="preserve"> lapsed ja noored</v>
      </c>
      <c r="H807" t="str">
        <f t="shared" si="75"/>
        <v>2010</v>
      </c>
      <c r="I807" t="str">
        <f>"Muumimamma mõtteteri"</f>
        <v>Muumimamma mõtteteri</v>
      </c>
      <c r="J807" t="str">
        <f>"Beekman, Vladimir"</f>
        <v>Beekman, Vladimir</v>
      </c>
      <c r="K807" t="str">
        <f>"Koolibri, Tallinn"</f>
        <v>Koolibri, Tallinn</v>
      </c>
      <c r="L807" t="str">
        <f>""</f>
        <v/>
      </c>
      <c r="M807" t="str">
        <f>"9789985026656"</f>
        <v>9789985026656</v>
      </c>
    </row>
    <row r="808" spans="1:13" ht="15">
      <c r="A808" t="s">
        <v>117</v>
      </c>
      <c r="B808" t="str">
        <f>"11349"</f>
        <v>11349</v>
      </c>
      <c r="C808" t="str">
        <f>"2004"</f>
        <v>2004</v>
      </c>
      <c r="D808" t="str">
        <f>"Muumipapan mietekirja"</f>
        <v>Muumipapan mietekirja</v>
      </c>
      <c r="E808" t="str">
        <f t="shared" si="72"/>
        <v>viro</v>
      </c>
      <c r="F808" t="str">
        <f>"aforismid. tsitaadid; proosa"</f>
        <v>aforismid. tsitaadid; proosa</v>
      </c>
      <c r="G808" t="str">
        <f>" lapsed ja noored"</f>
        <v xml:space="preserve"> lapsed ja noored</v>
      </c>
      <c r="H808" t="str">
        <f t="shared" si="75"/>
        <v>2010</v>
      </c>
      <c r="I808" t="str">
        <f>"Muumipapa mõtteteri"</f>
        <v>Muumipapa mõtteteri</v>
      </c>
      <c r="J808" t="str">
        <f>"Beekman, Vladimir, Sova, Elo"</f>
        <v>Beekman, Vladimir, Sova, Elo</v>
      </c>
      <c r="K808" t="str">
        <f>"Koolibri, Tallinn"</f>
        <v>Koolibri, Tallinn</v>
      </c>
      <c r="L808" t="str">
        <f>""</f>
        <v/>
      </c>
      <c r="M808" t="str">
        <f>"9789985026663"</f>
        <v>9789985026663</v>
      </c>
    </row>
    <row r="809" spans="1:13" ht="15">
      <c r="A809" t="s">
        <v>117</v>
      </c>
      <c r="B809" t="str">
        <f>"11350"</f>
        <v>11350</v>
      </c>
      <c r="C809" t="str">
        <f>"2005"</f>
        <v>2005</v>
      </c>
      <c r="D809" t="str">
        <f>"Pikku Myyn mietekirja"</f>
        <v>Pikku Myyn mietekirja</v>
      </c>
      <c r="E809" t="str">
        <f t="shared" si="72"/>
        <v>viro</v>
      </c>
      <c r="F809" t="str">
        <f>"aforismid. tsitaadid; proosa"</f>
        <v>aforismid. tsitaadid; proosa</v>
      </c>
      <c r="G809" t="str">
        <f>" lapsed ja noored"</f>
        <v xml:space="preserve"> lapsed ja noored</v>
      </c>
      <c r="H809" t="str">
        <f t="shared" si="75"/>
        <v>2010</v>
      </c>
      <c r="I809" t="str">
        <f>"Väikese My mõtteteri"</f>
        <v>Väikese My mõtteteri</v>
      </c>
      <c r="J809" t="str">
        <f>"Beekman, Vladimir, Sova, Elo"</f>
        <v>Beekman, Vladimir, Sova, Elo</v>
      </c>
      <c r="K809" t="str">
        <f>"Koolibri, Tallinn"</f>
        <v>Koolibri, Tallinn</v>
      </c>
      <c r="L809" t="str">
        <f>""</f>
        <v/>
      </c>
      <c r="M809" t="str">
        <f>"9789985026670"</f>
        <v>9789985026670</v>
      </c>
    </row>
    <row r="810" spans="1:13" ht="15">
      <c r="A810" t="s">
        <v>117</v>
      </c>
      <c r="B810" t="str">
        <f>"10808"</f>
        <v>10808</v>
      </c>
      <c r="C810" t="str">
        <f>"1972"</f>
        <v>1972</v>
      </c>
      <c r="D810" t="str">
        <f>"Sommarboken"</f>
        <v>Sommarboken</v>
      </c>
      <c r="E810" t="str">
        <f t="shared" si="72"/>
        <v>viro</v>
      </c>
      <c r="F810" t="str">
        <f>"romaanid; proosa"</f>
        <v>romaanid; proosa</v>
      </c>
      <c r="G810" t="str">
        <f>"  täiskasvanud"</f>
        <v xml:space="preserve">  täiskasvanud</v>
      </c>
      <c r="H810" t="str">
        <f t="shared" si="75"/>
        <v>2010</v>
      </c>
      <c r="I810" t="str">
        <f>"Suveraamat"</f>
        <v>Suveraamat</v>
      </c>
      <c r="J810" t="str">
        <f>"Aaloe-Laur, Maarja"</f>
        <v>Aaloe-Laur, Maarja</v>
      </c>
      <c r="K810" t="str">
        <f>"Eesti Päevaleht, Tallinn"</f>
        <v>Eesti Päevaleht, Tallinn</v>
      </c>
      <c r="L810" t="str">
        <f>""</f>
        <v/>
      </c>
      <c r="M810" t="str">
        <f>"978-9949-452-48-4"</f>
        <v>978-9949-452-48-4</v>
      </c>
    </row>
    <row r="811" spans="1:13" ht="15">
      <c r="A811" t="s">
        <v>138</v>
      </c>
      <c r="B811" t="str">
        <f>"19204"</f>
        <v>19204</v>
      </c>
      <c r="C811" t="str">
        <f>"2009"</f>
        <v>2009</v>
      </c>
      <c r="D811" t="str">
        <f>"Muumipeikko auttaa"</f>
        <v>Muumipeikko auttaa</v>
      </c>
      <c r="E811" t="str">
        <f t="shared" si="72"/>
        <v>viro</v>
      </c>
      <c r="F811" t="str">
        <f>"pildiraamatud"</f>
        <v>pildiraamatud</v>
      </c>
      <c r="G811" t="str">
        <f>" lapsed ja noored"</f>
        <v xml:space="preserve"> lapsed ja noored</v>
      </c>
      <c r="H811" t="str">
        <f t="shared" si="75"/>
        <v>2010</v>
      </c>
      <c r="I811" t="str">
        <f>"Muumitroll aitab"</f>
        <v>Muumitroll aitab</v>
      </c>
      <c r="J811" t="str">
        <f>"Kaasik, Igor"</f>
        <v>Kaasik, Igor</v>
      </c>
      <c r="K811" t="str">
        <f>"Balti Raamat, Tallinn"</f>
        <v>Balti Raamat, Tallinn</v>
      </c>
      <c r="L811" t="str">
        <f>""</f>
        <v/>
      </c>
      <c r="M811" t="str">
        <f>"9789985849644 "</f>
        <v xml:space="preserve">9789985849644 </v>
      </c>
    </row>
    <row r="812" spans="1:13" ht="15">
      <c r="A812" t="s">
        <v>139</v>
      </c>
      <c r="B812" t="str">
        <f>"19204"</f>
        <v>19204</v>
      </c>
      <c r="C812" t="str">
        <f>"2009"</f>
        <v>2009</v>
      </c>
      <c r="D812" t="str">
        <f>"Muumipeikko auttaa"</f>
        <v>Muumipeikko auttaa</v>
      </c>
      <c r="E812" t="str">
        <f t="shared" si="72"/>
        <v>viro</v>
      </c>
      <c r="F812" t="str">
        <f>"pildiraamatud"</f>
        <v>pildiraamatud</v>
      </c>
      <c r="G812" t="str">
        <f>" lapsed ja noored"</f>
        <v xml:space="preserve"> lapsed ja noored</v>
      </c>
      <c r="H812" t="str">
        <f t="shared" si="75"/>
        <v>2010</v>
      </c>
      <c r="I812" t="str">
        <f>"Muumitroll aitab"</f>
        <v>Muumitroll aitab</v>
      </c>
      <c r="J812" t="str">
        <f>"Kaasik, Igor"</f>
        <v>Kaasik, Igor</v>
      </c>
      <c r="K812" t="str">
        <f>"Balti Raamat, Tallinn"</f>
        <v>Balti Raamat, Tallinn</v>
      </c>
      <c r="L812" t="str">
        <f>""</f>
        <v/>
      </c>
      <c r="M812" t="str">
        <f>"9789985849644 "</f>
        <v xml:space="preserve">9789985849644 </v>
      </c>
    </row>
    <row r="813" spans="1:13" ht="15">
      <c r="A813" t="s">
        <v>207</v>
      </c>
      <c r="B813" t="str">
        <f>"15524"</f>
        <v>15524</v>
      </c>
      <c r="C813" t="str">
        <f>"2008"</f>
        <v>2008</v>
      </c>
      <c r="D813" t="str">
        <f>"Miten tuen lapsen ja nuoren itsetuntoa"</f>
        <v>Miten tuen lapsen ja nuoren itsetuntoa</v>
      </c>
      <c r="E813" t="str">
        <f t="shared" si="72"/>
        <v>viro</v>
      </c>
      <c r="F813" t="str">
        <f>""</f>
        <v/>
      </c>
      <c r="G813" t="str">
        <f>"  täiskasvanud"</f>
        <v xml:space="preserve">  täiskasvanud</v>
      </c>
      <c r="H813" t="str">
        <f t="shared" si="75"/>
        <v>2010</v>
      </c>
      <c r="I813" t="str">
        <f>"Kuidas toetada laste ja noorte enesehinnangut"</f>
        <v>Kuidas toetada laste ja noorte enesehinnangut</v>
      </c>
      <c r="J813" t="str">
        <f>"Kotkas, Kersti-Mai"</f>
        <v>Kotkas, Kersti-Mai</v>
      </c>
      <c r="K813" t="str">
        <f>"Varrak, Tallinn"</f>
        <v>Varrak, Tallinn</v>
      </c>
      <c r="L813" t="str">
        <f>""</f>
        <v/>
      </c>
      <c r="M813" t="str">
        <f>"978-9985-3-2094-5"</f>
        <v>978-9985-3-2094-5</v>
      </c>
    </row>
    <row r="814" spans="1:13" ht="15">
      <c r="A814" t="s">
        <v>293</v>
      </c>
      <c r="B814" t="str">
        <f>"11348"</f>
        <v>11348</v>
      </c>
      <c r="C814" t="str">
        <f>"2003"</f>
        <v>2003</v>
      </c>
      <c r="D814" t="str">
        <f>"Muumimamman mietekirja"</f>
        <v>Muumimamman mietekirja</v>
      </c>
      <c r="E814" t="str">
        <f t="shared" si="72"/>
        <v>viro</v>
      </c>
      <c r="F814" t="str">
        <f>"aforismid. tsitaadid; proosa"</f>
        <v>aforismid. tsitaadid; proosa</v>
      </c>
      <c r="G814" t="str">
        <f>" lapsed ja noored"</f>
        <v xml:space="preserve"> lapsed ja noored</v>
      </c>
      <c r="H814" t="str">
        <f t="shared" si="75"/>
        <v>2010</v>
      </c>
      <c r="I814" t="str">
        <f>"Muumimamma mõtteteri"</f>
        <v>Muumimamma mõtteteri</v>
      </c>
      <c r="J814" t="str">
        <f>"Beekman, Vladimir"</f>
        <v>Beekman, Vladimir</v>
      </c>
      <c r="K814" t="str">
        <f>"Koolibri, Tallinn"</f>
        <v>Koolibri, Tallinn</v>
      </c>
      <c r="L814" t="str">
        <f>""</f>
        <v/>
      </c>
      <c r="M814" t="str">
        <f>"9789985026656"</f>
        <v>9789985026656</v>
      </c>
    </row>
    <row r="815" spans="1:13" ht="15">
      <c r="A815" t="s">
        <v>293</v>
      </c>
      <c r="B815" t="str">
        <f>"11349"</f>
        <v>11349</v>
      </c>
      <c r="C815" t="str">
        <f>"2004"</f>
        <v>2004</v>
      </c>
      <c r="D815" t="str">
        <f>"Muumipapan mietekirja"</f>
        <v>Muumipapan mietekirja</v>
      </c>
      <c r="E815" t="str">
        <f t="shared" si="72"/>
        <v>viro</v>
      </c>
      <c r="F815" t="str">
        <f>"aforismid. tsitaadid; proosa"</f>
        <v>aforismid. tsitaadid; proosa</v>
      </c>
      <c r="G815" t="str">
        <f>" lapsed ja noored"</f>
        <v xml:space="preserve"> lapsed ja noored</v>
      </c>
      <c r="H815" t="str">
        <f t="shared" si="75"/>
        <v>2010</v>
      </c>
      <c r="I815" t="str">
        <f>"Muumipapa mõtteteri"</f>
        <v>Muumipapa mõtteteri</v>
      </c>
      <c r="J815" t="str">
        <f>"Beekman, Vladimir, Sova, Elo"</f>
        <v>Beekman, Vladimir, Sova, Elo</v>
      </c>
      <c r="K815" t="str">
        <f>"Koolibri, Tallinn"</f>
        <v>Koolibri, Tallinn</v>
      </c>
      <c r="L815" t="str">
        <f>""</f>
        <v/>
      </c>
      <c r="M815" t="str">
        <f>"9789985026663"</f>
        <v>9789985026663</v>
      </c>
    </row>
    <row r="816" spans="1:13" ht="15">
      <c r="A816" t="s">
        <v>293</v>
      </c>
      <c r="B816" t="str">
        <f>"11350"</f>
        <v>11350</v>
      </c>
      <c r="C816" t="str">
        <f>"2005"</f>
        <v>2005</v>
      </c>
      <c r="D816" t="str">
        <f>"Pikku Myyn mietekirja"</f>
        <v>Pikku Myyn mietekirja</v>
      </c>
      <c r="E816" t="str">
        <f t="shared" si="72"/>
        <v>viro</v>
      </c>
      <c r="F816" t="str">
        <f>"aforismid. tsitaadid; proosa"</f>
        <v>aforismid. tsitaadid; proosa</v>
      </c>
      <c r="G816" t="str">
        <f>" lapsed ja noored"</f>
        <v xml:space="preserve"> lapsed ja noored</v>
      </c>
      <c r="H816" t="str">
        <f t="shared" si="75"/>
        <v>2010</v>
      </c>
      <c r="I816" t="str">
        <f>"Väikese My mõtteteri"</f>
        <v>Väikese My mõtteteri</v>
      </c>
      <c r="J816" t="str">
        <f>"Beekman, Vladimir, Sova, Elo"</f>
        <v>Beekman, Vladimir, Sova, Elo</v>
      </c>
      <c r="K816" t="str">
        <f>"Koolibri, Tallinn"</f>
        <v>Koolibri, Tallinn</v>
      </c>
      <c r="L816" t="str">
        <f>""</f>
        <v/>
      </c>
      <c r="M816" t="str">
        <f>"9789985026670"</f>
        <v>9789985026670</v>
      </c>
    </row>
    <row r="817" spans="1:13" ht="15">
      <c r="A817" t="s">
        <v>346</v>
      </c>
      <c r="B817" t="str">
        <f>"14103"</f>
        <v>14103</v>
      </c>
      <c r="C817" t="str">
        <f>"2005"</f>
        <v>2005</v>
      </c>
      <c r="D817" t="str">
        <f>"Baby Jane"</f>
        <v>Baby Jane</v>
      </c>
      <c r="E817" t="str">
        <f t="shared" si="72"/>
        <v>viro</v>
      </c>
      <c r="F817" t="str">
        <f>"romaanid; proosa"</f>
        <v>romaanid; proosa</v>
      </c>
      <c r="G817" t="str">
        <f>"  täiskasvanud"</f>
        <v xml:space="preserve">  täiskasvanud</v>
      </c>
      <c r="H817" t="str">
        <f t="shared" si="75"/>
        <v>2010</v>
      </c>
      <c r="I817" t="str">
        <f>"Baby Jane"</f>
        <v>Baby Jane</v>
      </c>
      <c r="J817" t="str">
        <f>"Pappel, Tiina"</f>
        <v>Pappel, Tiina</v>
      </c>
      <c r="K817" t="str">
        <f>"Tänapäev, Tallinn"</f>
        <v>Tänapäev, Tallinn</v>
      </c>
      <c r="L817" t="str">
        <f>""</f>
        <v/>
      </c>
      <c r="M817" t="str">
        <f>"9789985628614"</f>
        <v>9789985628614</v>
      </c>
    </row>
    <row r="818" spans="1:13" ht="15">
      <c r="A818" t="s">
        <v>356</v>
      </c>
      <c r="B818" t="str">
        <f>"10763"</f>
        <v>10763</v>
      </c>
      <c r="C818" t="str">
        <f>"1980"</f>
        <v>1980</v>
      </c>
      <c r="D818" t="str">
        <f>"Herranen aika : romaani"</f>
        <v>Herranen aika : romaani</v>
      </c>
      <c r="E818" t="str">
        <f t="shared" si="72"/>
        <v>viro</v>
      </c>
      <c r="F818" t="str">
        <f>"romaanid; proosa"</f>
        <v>romaanid; proosa</v>
      </c>
      <c r="G818" t="str">
        <f>"  täiskasvanud"</f>
        <v xml:space="preserve">  täiskasvanud</v>
      </c>
      <c r="H818" t="str">
        <f t="shared" si="75"/>
        <v>2010</v>
      </c>
      <c r="I818" t="str">
        <f>"Tule taevas appi"</f>
        <v>Tule taevas appi</v>
      </c>
      <c r="J818" t="str">
        <f>"Jaanits, Kadri"</f>
        <v>Jaanits, Kadri</v>
      </c>
      <c r="K818" t="str">
        <f>"Tänapäev, Tallinn"</f>
        <v>Tänapäev, Tallinn</v>
      </c>
      <c r="L818" t="str">
        <f>""</f>
        <v/>
      </c>
      <c r="M818" t="str">
        <f>"978-9985-62-860-7"</f>
        <v>978-9985-62-860-7</v>
      </c>
    </row>
    <row r="819" spans="1:13" ht="15">
      <c r="A819" t="s">
        <v>409</v>
      </c>
      <c r="B819" t="str">
        <f>"10959"</f>
        <v>10959</v>
      </c>
      <c r="C819" t="str">
        <f>"2008"</f>
        <v>2008</v>
      </c>
      <c r="D819" t="str">
        <f>"Heimoaisti : kunniarunoelmia"</f>
        <v>Heimoaisti : kunniarunoelmia</v>
      </c>
      <c r="E819" t="str">
        <f t="shared" si="72"/>
        <v>viro</v>
      </c>
      <c r="F819" t="str">
        <f>"romaanid; proosa"</f>
        <v>romaanid; proosa</v>
      </c>
      <c r="G819" t="str">
        <f>"  täiskasvanud"</f>
        <v xml:space="preserve">  täiskasvanud</v>
      </c>
      <c r="H819" t="str">
        <f t="shared" si="75"/>
        <v>2010</v>
      </c>
      <c r="I819" t="str">
        <f>"Höimutaju"</f>
        <v>Höimutaju</v>
      </c>
      <c r="J819" t="str">
        <f>"Lepp, Andres"</f>
        <v>Lepp, Andres</v>
      </c>
      <c r="K819" t="str">
        <f>"Books on Demand, Helsinki"</f>
        <v>Books on Demand, Helsinki</v>
      </c>
      <c r="L819" t="str">
        <f>""</f>
        <v/>
      </c>
      <c r="M819" t="str">
        <f>"978-952-498-351-8"</f>
        <v>978-952-498-351-8</v>
      </c>
    </row>
    <row r="820" spans="1:13" ht="15">
      <c r="A820" t="s">
        <v>506</v>
      </c>
      <c r="B820" t="str">
        <f>"10867"</f>
        <v>10867</v>
      </c>
      <c r="C820" t="str">
        <f>"2008"</f>
        <v>2008</v>
      </c>
      <c r="D820" t="str">
        <f>"Troikka"</f>
        <v>Troikka</v>
      </c>
      <c r="E820" t="str">
        <f t="shared" si="72"/>
        <v>viro</v>
      </c>
      <c r="F820" t="str">
        <f>"romaanid; proosa"</f>
        <v>romaanid; proosa</v>
      </c>
      <c r="G820" t="str">
        <f>"  täiskasvanud"</f>
        <v xml:space="preserve">  täiskasvanud</v>
      </c>
      <c r="H820" t="str">
        <f t="shared" si="75"/>
        <v>2010</v>
      </c>
      <c r="I820" t="str">
        <f>"Troika"</f>
        <v>Troika</v>
      </c>
      <c r="J820" t="str">
        <f>"Sepp, Arvi"</f>
        <v>Sepp, Arvi</v>
      </c>
      <c r="K820" t="str">
        <f>"Olion, Tallinn"</f>
        <v>Olion, Tallinn</v>
      </c>
      <c r="L820" t="str">
        <f>""</f>
        <v/>
      </c>
      <c r="M820" t="str">
        <f>"978-9985-66-630-2"</f>
        <v>978-9985-66-630-2</v>
      </c>
    </row>
    <row r="821" spans="1:13" ht="15">
      <c r="A821" t="s">
        <v>511</v>
      </c>
      <c r="B821" t="str">
        <f>"10955"</f>
        <v>10955</v>
      </c>
      <c r="C821" t="str">
        <f>""</f>
        <v/>
      </c>
      <c r="D821" t="str">
        <f>"Hra Kenonen : hänen elämänsä ja mielipiteensä ; Tiituksen pakinoita. 4, Mittee mies on pahollaan"</f>
        <v>Hra Kenonen : hänen elämänsä ja mielipiteensä ; Tiituksen pakinoita. 4, Mittee mies on pahollaan</v>
      </c>
      <c r="E821" t="str">
        <f t="shared" si="72"/>
        <v>viro</v>
      </c>
      <c r="F821" t="str">
        <f>"proosa; pakinat"</f>
        <v>proosa; pakinat</v>
      </c>
      <c r="G821" t="str">
        <f>"  täiskasvanud"</f>
        <v xml:space="preserve">  täiskasvanud</v>
      </c>
      <c r="H821" t="str">
        <f t="shared" si="75"/>
        <v>2010</v>
      </c>
      <c r="I821" t="str">
        <f>"Hr. Kenonen"</f>
        <v>Hr. Kenonen</v>
      </c>
      <c r="J821" t="str">
        <f>"Paikre, Ants"</f>
        <v>Paikre, Ants</v>
      </c>
      <c r="K821" t="str">
        <f>"Kultuurileht, Tallinn"</f>
        <v>Kultuurileht, Tallinn</v>
      </c>
      <c r="L821" t="str">
        <f>""</f>
        <v/>
      </c>
      <c r="M821" t="str">
        <f>"978-9949-428-61-8"</f>
        <v>978-9949-428-61-8</v>
      </c>
    </row>
    <row r="822" spans="1:13" ht="15">
      <c r="A822" t="s">
        <v>549</v>
      </c>
      <c r="B822" t="str">
        <f>"11761"</f>
        <v>11761</v>
      </c>
      <c r="C822" t="str">
        <f>"2009"</f>
        <v>2009</v>
      </c>
      <c r="D822" t="str">
        <f>"Länsimaiden tuho"</f>
        <v>Länsimaiden tuho</v>
      </c>
      <c r="E822" t="str">
        <f t="shared" si="72"/>
        <v>viro</v>
      </c>
      <c r="F822" t="str">
        <f>""</f>
        <v/>
      </c>
      <c r="G822" t="str">
        <f>"  täiskasvanud"</f>
        <v xml:space="preserve">  täiskasvanud</v>
      </c>
      <c r="H822" t="str">
        <f t="shared" si="75"/>
        <v>2010</v>
      </c>
      <c r="I822" t="str">
        <f>"Äratuskell õhtumaadele"</f>
        <v>Äratuskell õhtumaadele</v>
      </c>
      <c r="J822" t="str">
        <f>"Kaaber, Ene"</f>
        <v>Kaaber, Ene</v>
      </c>
      <c r="K822" t="str">
        <f>"K &amp; K, Tallinn"</f>
        <v>K &amp; K, Tallinn</v>
      </c>
      <c r="L822" t="str">
        <f>""</f>
        <v/>
      </c>
      <c r="M822" t="str">
        <f>"978-9985-9152-7-1"</f>
        <v>978-9985-9152-7-1</v>
      </c>
    </row>
    <row r="823" spans="1:13" ht="15">
      <c r="A823" t="s">
        <v>560</v>
      </c>
      <c r="B823" t="str">
        <f>"15132"</f>
        <v>15132</v>
      </c>
      <c r="C823" t="str">
        <f>"2007"</f>
        <v>2007</v>
      </c>
      <c r="D823" t="str">
        <f>"Kristianin teinivuodet"</f>
        <v>Kristianin teinivuodet</v>
      </c>
      <c r="E823" t="str">
        <f t="shared" si="72"/>
        <v>viro</v>
      </c>
      <c r="F823" t="str">
        <f>"romaanid; proosa"</f>
        <v>romaanid; proosa</v>
      </c>
      <c r="G823" t="str">
        <f>"  täiskasvanud"</f>
        <v xml:space="preserve">  täiskasvanud</v>
      </c>
      <c r="H823" t="str">
        <f t="shared" si="75"/>
        <v>2010</v>
      </c>
      <c r="I823" t="str">
        <f>"Kristiani teismeaastad"</f>
        <v>Kristiani teismeaastad</v>
      </c>
      <c r="J823" t="str">
        <f>"Mõisnik, Mihkel"</f>
        <v>Mõisnik, Mihkel</v>
      </c>
      <c r="K823" t="str">
        <f>"Hotger, Tallinn"</f>
        <v>Hotger, Tallinn</v>
      </c>
      <c r="L823" t="str">
        <f>""</f>
        <v/>
      </c>
      <c r="M823" t="str">
        <f>"9789949457021"</f>
        <v>9789949457021</v>
      </c>
    </row>
    <row r="824" spans="1:13" ht="15">
      <c r="A824" t="s">
        <v>9</v>
      </c>
      <c r="B824" t="str">
        <f>"11584"</f>
        <v>11584</v>
      </c>
      <c r="C824" t="str">
        <f>"1890"</f>
        <v>1890</v>
      </c>
      <c r="D824" t="str">
        <f>"Yksin"</f>
        <v>Yksin</v>
      </c>
      <c r="E824" t="str">
        <f t="shared" si="72"/>
        <v>viro</v>
      </c>
      <c r="F824" t="str">
        <f>"romaanid; proosa"</f>
        <v>romaanid; proosa</v>
      </c>
      <c r="G824" t="str">
        <f>"  täiskasvanud"</f>
        <v xml:space="preserve">  täiskasvanud</v>
      </c>
      <c r="H824" t="str">
        <f aca="true" t="shared" si="76" ref="H824:H851">"2011"</f>
        <v>2011</v>
      </c>
      <c r="I824" t="str">
        <f>"Üksi"</f>
        <v>Üksi</v>
      </c>
      <c r="J824" t="str">
        <f>"Paikre, Ants"</f>
        <v>Paikre, Ants</v>
      </c>
      <c r="K824" t="str">
        <f>"Kultuurileht, Tallinn"</f>
        <v>Kultuurileht, Tallinn</v>
      </c>
      <c r="L824" t="str">
        <f>""</f>
        <v/>
      </c>
      <c r="M824" t="str">
        <f>"978-9949-428-92-2"</f>
        <v>978-9949-428-92-2</v>
      </c>
    </row>
    <row r="825" spans="1:13" ht="15">
      <c r="A825" t="s">
        <v>63</v>
      </c>
      <c r="B825" t="str">
        <f>"11547"</f>
        <v>11547</v>
      </c>
      <c r="C825" t="str">
        <f>"2009"</f>
        <v>2009</v>
      </c>
      <c r="D825" t="str">
        <f>"Viro 1914-1922 : maailmansota, vallankumoukset, itsenäistyminen ja vapaussota"</f>
        <v>Viro 1914-1922 : maailmansota, vallankumoukset, itsenäistyminen ja vapaussota</v>
      </c>
      <c r="E825" t="str">
        <f t="shared" si="72"/>
        <v>viro</v>
      </c>
      <c r="F825" t="str">
        <f>""</f>
        <v/>
      </c>
      <c r="G825" t="str">
        <f>"  täiskasvanud"</f>
        <v xml:space="preserve">  täiskasvanud</v>
      </c>
      <c r="H825" t="str">
        <f t="shared" si="76"/>
        <v>2011</v>
      </c>
      <c r="I825" t="str">
        <f>"Eesti 1914-1922"</f>
        <v>Eesti 1914-1922</v>
      </c>
      <c r="J825" t="str">
        <f>"Jaanits, Kadri, Kokla, Paul"</f>
        <v>Jaanits, Kadri, Kokla, Paul</v>
      </c>
      <c r="K825" t="str">
        <f>"Tänapäev, Tallinn"</f>
        <v>Tänapäev, Tallinn</v>
      </c>
      <c r="L825" t="str">
        <f>""</f>
        <v/>
      </c>
      <c r="M825" t="str">
        <f>"978-9985-62-991-8"</f>
        <v>978-9985-62-991-8</v>
      </c>
    </row>
    <row r="826" spans="1:13" ht="15">
      <c r="A826" t="s">
        <v>117</v>
      </c>
      <c r="B826" t="str">
        <f>"14975"</f>
        <v>14975</v>
      </c>
      <c r="C826" t="str">
        <f>"1952"</f>
        <v>1952</v>
      </c>
      <c r="D826" t="str">
        <f>"Hur gick det sen? : (boken om Mymlan, Mumintrollet och lilla My)"</f>
        <v>Hur gick det sen? : (boken om Mymlan, Mumintrollet och lilla My)</v>
      </c>
      <c r="E826" t="str">
        <f t="shared" si="72"/>
        <v>viro</v>
      </c>
      <c r="F826" t="str">
        <f>"pildiraamatud"</f>
        <v>pildiraamatud</v>
      </c>
      <c r="G826" t="str">
        <f>" lapsed ja noored"</f>
        <v xml:space="preserve"> lapsed ja noored</v>
      </c>
      <c r="H826" t="str">
        <f t="shared" si="76"/>
        <v>2011</v>
      </c>
      <c r="I826" t="str">
        <f>"Mis juhtus siis?"</f>
        <v>Mis juhtus siis?</v>
      </c>
      <c r="J826" t="str">
        <f>"Targo, Linda"</f>
        <v>Targo, Linda</v>
      </c>
      <c r="K826" t="str">
        <f>"Tiritamm, Tallinn"</f>
        <v>Tiritamm, Tallinn</v>
      </c>
      <c r="L826" t="str">
        <f>""</f>
        <v/>
      </c>
      <c r="M826" t="str">
        <f>"9789985552780"</f>
        <v>9789985552780</v>
      </c>
    </row>
    <row r="827" spans="1:13" ht="15">
      <c r="A827" t="s">
        <v>117</v>
      </c>
      <c r="B827" t="str">
        <f>"14831"</f>
        <v>14831</v>
      </c>
      <c r="C827" t="str">
        <f>"2007"</f>
        <v>2007</v>
      </c>
      <c r="D827" t="str">
        <f>"Muumipeikon mietekirja"</f>
        <v>Muumipeikon mietekirja</v>
      </c>
      <c r="E827" t="str">
        <f t="shared" si="72"/>
        <v>viro</v>
      </c>
      <c r="F827" t="str">
        <f>"aforismid. tsitaadid; proosa"</f>
        <v>aforismid. tsitaadid; proosa</v>
      </c>
      <c r="G827" t="str">
        <f>" lapsed ja noored"</f>
        <v xml:space="preserve"> lapsed ja noored</v>
      </c>
      <c r="H827" t="str">
        <f t="shared" si="76"/>
        <v>2011</v>
      </c>
      <c r="I827" t="str">
        <f>"Muumitrolli mõtteteri"</f>
        <v>Muumitrolli mõtteteri</v>
      </c>
      <c r="J827" t="str">
        <f>"Beekman, Vladimir, Sova, Elo"</f>
        <v>Beekman, Vladimir, Sova, Elo</v>
      </c>
      <c r="K827" t="str">
        <f>"Koolibri, Tallinn"</f>
        <v>Koolibri, Tallinn</v>
      </c>
      <c r="L827" t="str">
        <f>""</f>
        <v/>
      </c>
      <c r="M827" t="str">
        <f>"978-9985-0-2670-0"</f>
        <v>978-9985-0-2670-0</v>
      </c>
    </row>
    <row r="828" spans="1:13" ht="15">
      <c r="A828" t="s">
        <v>117</v>
      </c>
      <c r="B828" t="str">
        <f>"14832"</f>
        <v>14832</v>
      </c>
      <c r="C828" t="str">
        <f>"2005"</f>
        <v>2005</v>
      </c>
      <c r="D828" t="str">
        <f>"Nipsun mietekirja"</f>
        <v>Nipsun mietekirja</v>
      </c>
      <c r="E828" t="str">
        <f t="shared" si="72"/>
        <v>viro</v>
      </c>
      <c r="F828" t="str">
        <f>"aforismid. tsitaadid; proosa"</f>
        <v>aforismid. tsitaadid; proosa</v>
      </c>
      <c r="G828" t="str">
        <f>" lapsed ja noored"</f>
        <v xml:space="preserve"> lapsed ja noored</v>
      </c>
      <c r="H828" t="str">
        <f t="shared" si="76"/>
        <v>2011</v>
      </c>
      <c r="I828" t="str">
        <f>"Sniffi mõtteteri"</f>
        <v>Sniffi mõtteteri</v>
      </c>
      <c r="J828" t="str">
        <f>"Beekman, Vladimir, Sova, Elo"</f>
        <v>Beekman, Vladimir, Sova, Elo</v>
      </c>
      <c r="K828" t="str">
        <f>"Koolibri, Tallinn"</f>
        <v>Koolibri, Tallinn</v>
      </c>
      <c r="L828" t="str">
        <f>""</f>
        <v/>
      </c>
      <c r="M828" t="str">
        <f>"978-9985-0-2668-7"</f>
        <v>978-9985-0-2668-7</v>
      </c>
    </row>
    <row r="829" spans="1:13" ht="15">
      <c r="A829" t="s">
        <v>117</v>
      </c>
      <c r="B829" t="str">
        <f>"14833"</f>
        <v>14833</v>
      </c>
      <c r="C829" t="str">
        <f>"2006"</f>
        <v>2006</v>
      </c>
      <c r="D829" t="str">
        <f>"Nuuskamuikkusen mietekirja"</f>
        <v>Nuuskamuikkusen mietekirja</v>
      </c>
      <c r="E829" t="str">
        <f t="shared" si="72"/>
        <v>viro</v>
      </c>
      <c r="F829" t="str">
        <f>"aforismid. tsitaadid; proosa"</f>
        <v>aforismid. tsitaadid; proosa</v>
      </c>
      <c r="G829" t="str">
        <f>" lapsed ja noored"</f>
        <v xml:space="preserve"> lapsed ja noored</v>
      </c>
      <c r="H829" t="str">
        <f t="shared" si="76"/>
        <v>2011</v>
      </c>
      <c r="I829" t="str">
        <f>"Nuuskmõmmiku mõtteteri"</f>
        <v>Nuuskmõmmiku mõtteteri</v>
      </c>
      <c r="J829" t="str">
        <f>"Beekman, Vladimir, Sova, Elo"</f>
        <v>Beekman, Vladimir, Sova, Elo</v>
      </c>
      <c r="K829" t="str">
        <f>"Koolibri, Tallinn"</f>
        <v>Koolibri, Tallinn</v>
      </c>
      <c r="L829" t="str">
        <f>""</f>
        <v/>
      </c>
      <c r="M829" t="str">
        <f>"978-9985-0-2669-4"</f>
        <v>978-9985-0-2669-4</v>
      </c>
    </row>
    <row r="830" spans="1:13" ht="15">
      <c r="A830" t="s">
        <v>151</v>
      </c>
      <c r="B830" t="str">
        <f>"14926"</f>
        <v>14926</v>
      </c>
      <c r="C830" t="str">
        <f>"2009"</f>
        <v>2009</v>
      </c>
      <c r="D830" t="str">
        <f>"Legenda : Lauri Törni - Larry Thorne"</f>
        <v>Legenda : Lauri Törni - Larry Thorne</v>
      </c>
      <c r="E830" t="str">
        <f t="shared" si="72"/>
        <v>viro</v>
      </c>
      <c r="F830" t="str">
        <f>""</f>
        <v/>
      </c>
      <c r="G830" t="str">
        <f>"  täiskasvanud"</f>
        <v xml:space="preserve">  täiskasvanud</v>
      </c>
      <c r="H830" t="str">
        <f t="shared" si="76"/>
        <v>2011</v>
      </c>
      <c r="I830" t="str">
        <f>"Lauri Törni - Legend - Larry Thorne"</f>
        <v>Lauri Törni - Legend - Larry Thorne</v>
      </c>
      <c r="J830" t="str">
        <f>"Villmann, Peeter"</f>
        <v>Villmann, Peeter</v>
      </c>
      <c r="K830" t="str">
        <f>"Revontuli, Tampere"</f>
        <v>Revontuli, Tampere</v>
      </c>
      <c r="L830" t="str">
        <f>""</f>
        <v/>
      </c>
      <c r="M830" t="str">
        <f>"9789949448531"</f>
        <v>9789949448531</v>
      </c>
    </row>
    <row r="831" spans="1:13" ht="15">
      <c r="A831" t="s">
        <v>154</v>
      </c>
      <c r="B831" t="str">
        <f>"11534"</f>
        <v>11534</v>
      </c>
      <c r="C831" t="str">
        <f>"2005"</f>
        <v>2005</v>
      </c>
      <c r="D831" t="str">
        <f>"Sankarimatkailija Tallinnan raitiovaunuissa"</f>
        <v>Sankarimatkailija Tallinnan raitiovaunuissa</v>
      </c>
      <c r="E831" t="str">
        <f t="shared" si="72"/>
        <v>viro</v>
      </c>
      <c r="F831" t="str">
        <f>""</f>
        <v/>
      </c>
      <c r="G831" t="str">
        <f>"  täiskasvanud"</f>
        <v xml:space="preserve">  täiskasvanud</v>
      </c>
      <c r="H831" t="str">
        <f t="shared" si="76"/>
        <v>2011</v>
      </c>
      <c r="I831" t="str">
        <f>"Trammiga Tallinnas"</f>
        <v>Trammiga Tallinnas</v>
      </c>
      <c r="J831" t="str">
        <f>"Mallene, Meelik"</f>
        <v>Mallene, Meelik</v>
      </c>
      <c r="K831" t="str">
        <f>"[Balti Raamat], [Tallinn]"</f>
        <v>[Balti Raamat], [Tallinn]</v>
      </c>
      <c r="L831" t="str">
        <f>""</f>
        <v/>
      </c>
      <c r="M831" t="str">
        <f>"978-9985-849-70-5"</f>
        <v>978-9985-849-70-5</v>
      </c>
    </row>
    <row r="832" spans="1:13" ht="15">
      <c r="A832" t="s">
        <v>173</v>
      </c>
      <c r="B832" t="str">
        <f>"11604"</f>
        <v>11604</v>
      </c>
      <c r="C832" t="str">
        <f>"2008"</f>
        <v>2008</v>
      </c>
      <c r="D832" t="str">
        <f>"Hitsaaja"</f>
        <v>Hitsaaja</v>
      </c>
      <c r="E832" t="str">
        <f t="shared" si="72"/>
        <v>viro</v>
      </c>
      <c r="F832" t="str">
        <f>"romaanid; proosa"</f>
        <v>romaanid; proosa</v>
      </c>
      <c r="G832" t="str">
        <f>"  täiskasvanud"</f>
        <v xml:space="preserve">  täiskasvanud</v>
      </c>
      <c r="H832" t="str">
        <f t="shared" si="76"/>
        <v>2011</v>
      </c>
      <c r="I832" t="str">
        <f>"Keevitaja"</f>
        <v>Keevitaja</v>
      </c>
      <c r="J832" t="str">
        <f>"Jaanits, Kadri"</f>
        <v>Jaanits, Kadri</v>
      </c>
      <c r="K832" t="str">
        <f>"Koolibri, Tallinn"</f>
        <v>Koolibri, Tallinn</v>
      </c>
      <c r="L832" t="str">
        <f>""</f>
        <v/>
      </c>
      <c r="M832" t="str">
        <f>"978-9985-0-2822-3"</f>
        <v>978-9985-0-2822-3</v>
      </c>
    </row>
    <row r="833" spans="1:13" ht="15">
      <c r="A833" t="s">
        <v>217</v>
      </c>
      <c r="B833" t="str">
        <f>"11657"</f>
        <v>11657</v>
      </c>
      <c r="C833" t="str">
        <f>"1993"</f>
        <v>1993</v>
      </c>
      <c r="D833" t="str">
        <f>"Hurjan hauska autokirja"</f>
        <v>Hurjan hauska autokirja</v>
      </c>
      <c r="E833" t="str">
        <f t="shared" si="72"/>
        <v>viro</v>
      </c>
      <c r="F833" t="str">
        <f>"pildiraamatud"</f>
        <v>pildiraamatud</v>
      </c>
      <c r="G833" t="str">
        <f>" lapsed ja noored"</f>
        <v xml:space="preserve"> lapsed ja noored</v>
      </c>
      <c r="H833" t="str">
        <f t="shared" si="76"/>
        <v>2011</v>
      </c>
      <c r="I833" t="str">
        <f>"Pööraselt põnev autoraamat"</f>
        <v>Pööraselt põnev autoraamat</v>
      </c>
      <c r="J833" t="str">
        <f>"Uustalu, Kadi"</f>
        <v>Uustalu, Kadi</v>
      </c>
      <c r="K833" t="str">
        <f>"Ajakirjade Kirjastus, Tallinn"</f>
        <v>Ajakirjade Kirjastus, Tallinn</v>
      </c>
      <c r="L833" t="str">
        <f>""</f>
        <v/>
      </c>
      <c r="M833" t="str">
        <f>"978-9949-476-74-9"</f>
        <v>978-9949-476-74-9</v>
      </c>
    </row>
    <row r="834" spans="1:13" ht="15">
      <c r="A834" t="s">
        <v>219</v>
      </c>
      <c r="B834" t="str">
        <f>"11657"</f>
        <v>11657</v>
      </c>
      <c r="C834" t="str">
        <f>"1993"</f>
        <v>1993</v>
      </c>
      <c r="D834" t="str">
        <f>"Hurjan hauska autokirja"</f>
        <v>Hurjan hauska autokirja</v>
      </c>
      <c r="E834" t="str">
        <f t="shared" si="72"/>
        <v>viro</v>
      </c>
      <c r="F834" t="str">
        <f>"pildiraamatud"</f>
        <v>pildiraamatud</v>
      </c>
      <c r="G834" t="str">
        <f>" lapsed ja noored"</f>
        <v xml:space="preserve"> lapsed ja noored</v>
      </c>
      <c r="H834" t="str">
        <f t="shared" si="76"/>
        <v>2011</v>
      </c>
      <c r="I834" t="str">
        <f>"Pööraselt põnev autoraamat"</f>
        <v>Pööraselt põnev autoraamat</v>
      </c>
      <c r="J834" t="str">
        <f>"Uustalu, Kadi"</f>
        <v>Uustalu, Kadi</v>
      </c>
      <c r="K834" t="str">
        <f>"Ajakirjade Kirjastus, Tallinn"</f>
        <v>Ajakirjade Kirjastus, Tallinn</v>
      </c>
      <c r="L834" t="str">
        <f>""</f>
        <v/>
      </c>
      <c r="M834" t="str">
        <f>"978-9949-476-74-9"</f>
        <v>978-9949-476-74-9</v>
      </c>
    </row>
    <row r="835" spans="1:13" ht="15">
      <c r="A835" t="s">
        <v>275</v>
      </c>
      <c r="B835" t="str">
        <f>"11542"</f>
        <v>11542</v>
      </c>
      <c r="C835" t="str">
        <f>"2010"</f>
        <v>2010</v>
      </c>
      <c r="D835" t="str">
        <f>"Merikarhun matkassa : lasten veneilykirja"</f>
        <v>Merikarhun matkassa : lasten veneilykirja</v>
      </c>
      <c r="E835" t="str">
        <f t="shared" si="72"/>
        <v>viro</v>
      </c>
      <c r="F835" t="str">
        <f>""</f>
        <v/>
      </c>
      <c r="G835" t="str">
        <f>" lapsed ja noored"</f>
        <v xml:space="preserve"> lapsed ja noored</v>
      </c>
      <c r="H835" t="str">
        <f t="shared" si="76"/>
        <v>2011</v>
      </c>
      <c r="I835" t="str">
        <f>"Merekarud"</f>
        <v>Merekarud</v>
      </c>
      <c r="J835" t="str">
        <f>"Kamarik, Teet"</f>
        <v>Kamarik, Teet</v>
      </c>
      <c r="K835" t="str">
        <f>"Eesti Päevaleht, Tallinn"</f>
        <v>Eesti Päevaleht, Tallinn</v>
      </c>
      <c r="L835" t="str">
        <f>""</f>
        <v/>
      </c>
      <c r="M835" t="str">
        <f>"978-9949-475-43-8"</f>
        <v>978-9949-475-43-8</v>
      </c>
    </row>
    <row r="836" spans="1:13" ht="15">
      <c r="A836" t="s">
        <v>293</v>
      </c>
      <c r="B836" t="str">
        <f>"14831"</f>
        <v>14831</v>
      </c>
      <c r="C836" t="str">
        <f>"2007"</f>
        <v>2007</v>
      </c>
      <c r="D836" t="str">
        <f>"Muumipeikon mietekirja"</f>
        <v>Muumipeikon mietekirja</v>
      </c>
      <c r="E836" t="str">
        <f t="shared" si="72"/>
        <v>viro</v>
      </c>
      <c r="F836" t="str">
        <f>"aforismid. tsitaadid; proosa"</f>
        <v>aforismid. tsitaadid; proosa</v>
      </c>
      <c r="G836" t="str">
        <f>" lapsed ja noored"</f>
        <v xml:space="preserve"> lapsed ja noored</v>
      </c>
      <c r="H836" t="str">
        <f t="shared" si="76"/>
        <v>2011</v>
      </c>
      <c r="I836" t="str">
        <f>"Muumitrolli mõtteteri"</f>
        <v>Muumitrolli mõtteteri</v>
      </c>
      <c r="J836" t="str">
        <f>"Beekman, Vladimir, Sova, Elo"</f>
        <v>Beekman, Vladimir, Sova, Elo</v>
      </c>
      <c r="K836" t="str">
        <f>"Koolibri, Tallinn"</f>
        <v>Koolibri, Tallinn</v>
      </c>
      <c r="L836" t="str">
        <f>""</f>
        <v/>
      </c>
      <c r="M836" t="str">
        <f>"978-9985-0-2670-0"</f>
        <v>978-9985-0-2670-0</v>
      </c>
    </row>
    <row r="837" spans="1:13" ht="15">
      <c r="A837" t="s">
        <v>293</v>
      </c>
      <c r="B837" t="str">
        <f>"14832"</f>
        <v>14832</v>
      </c>
      <c r="C837" t="str">
        <f>"2005"</f>
        <v>2005</v>
      </c>
      <c r="D837" t="str">
        <f>"Nipsun mietekirja"</f>
        <v>Nipsun mietekirja</v>
      </c>
      <c r="E837" t="str">
        <f t="shared" si="72"/>
        <v>viro</v>
      </c>
      <c r="F837" t="str">
        <f>"aforismid. tsitaadid; proosa"</f>
        <v>aforismid. tsitaadid; proosa</v>
      </c>
      <c r="G837" t="str">
        <f>" lapsed ja noored"</f>
        <v xml:space="preserve"> lapsed ja noored</v>
      </c>
      <c r="H837" t="str">
        <f t="shared" si="76"/>
        <v>2011</v>
      </c>
      <c r="I837" t="str">
        <f>"Sniffi mõtteteri"</f>
        <v>Sniffi mõtteteri</v>
      </c>
      <c r="J837" t="str">
        <f>"Beekman, Vladimir, Sova, Elo"</f>
        <v>Beekman, Vladimir, Sova, Elo</v>
      </c>
      <c r="K837" t="str">
        <f>"Koolibri, Tallinn"</f>
        <v>Koolibri, Tallinn</v>
      </c>
      <c r="L837" t="str">
        <f>""</f>
        <v/>
      </c>
      <c r="M837" t="str">
        <f>"978-9985-0-2668-7"</f>
        <v>978-9985-0-2668-7</v>
      </c>
    </row>
    <row r="838" spans="1:13" ht="15">
      <c r="A838" t="s">
        <v>293</v>
      </c>
      <c r="B838" t="str">
        <f>"14833"</f>
        <v>14833</v>
      </c>
      <c r="C838" t="str">
        <f>"2006"</f>
        <v>2006</v>
      </c>
      <c r="D838" t="str">
        <f>"Nuuskamuikkusen mietekirja"</f>
        <v>Nuuskamuikkusen mietekirja</v>
      </c>
      <c r="E838" t="str">
        <f aca="true" t="shared" si="77" ref="E838:E901">"viro"</f>
        <v>viro</v>
      </c>
      <c r="F838" t="str">
        <f>"aforismid. tsitaadid; proosa"</f>
        <v>aforismid. tsitaadid; proosa</v>
      </c>
      <c r="G838" t="str">
        <f>" lapsed ja noored"</f>
        <v xml:space="preserve"> lapsed ja noored</v>
      </c>
      <c r="H838" t="str">
        <f t="shared" si="76"/>
        <v>2011</v>
      </c>
      <c r="I838" t="str">
        <f>"Nuuskmõmmiku mõtteteri"</f>
        <v>Nuuskmõmmiku mõtteteri</v>
      </c>
      <c r="J838" t="str">
        <f>"Beekman, Vladimir, Sova, Elo"</f>
        <v>Beekman, Vladimir, Sova, Elo</v>
      </c>
      <c r="K838" t="str">
        <f>"Koolibri, Tallinn"</f>
        <v>Koolibri, Tallinn</v>
      </c>
      <c r="L838" t="str">
        <f>""</f>
        <v/>
      </c>
      <c r="M838" t="str">
        <f>"978-9985-0-2669-4"</f>
        <v>978-9985-0-2669-4</v>
      </c>
    </row>
    <row r="839" spans="1:13" ht="15">
      <c r="A839" t="s">
        <v>330</v>
      </c>
      <c r="B839" t="str">
        <f>"14927"</f>
        <v>14927</v>
      </c>
      <c r="C839" t="str">
        <f>"1997"</f>
        <v>1997</v>
      </c>
      <c r="D839" t="str">
        <f>"Heinähattu, Vilttitossu ja iso Elsa"</f>
        <v>Heinähattu, Vilttitossu ja iso Elsa</v>
      </c>
      <c r="E839" t="str">
        <f t="shared" si="77"/>
        <v>viro</v>
      </c>
      <c r="F839" t="str">
        <f>"proosa"</f>
        <v>proosa</v>
      </c>
      <c r="G839" t="str">
        <f>" lapsed ja noored"</f>
        <v xml:space="preserve"> lapsed ja noored</v>
      </c>
      <c r="H839" t="str">
        <f t="shared" si="76"/>
        <v>2011</v>
      </c>
      <c r="I839" t="str">
        <f>"Heinakübar, Viltsuss ja suur Elsa"</f>
        <v>Heinakübar, Viltsuss ja suur Elsa</v>
      </c>
      <c r="J839" t="str">
        <f>"Grosberg, Reet"</f>
        <v>Grosberg, Reet</v>
      </c>
      <c r="K839" t="str">
        <f>"TEA Kirjastus, Tallinn"</f>
        <v>TEA Kirjastus, Tallinn</v>
      </c>
      <c r="L839" t="str">
        <f>""</f>
        <v/>
      </c>
      <c r="M839" t="str">
        <f>"9789985718995"</f>
        <v>9789985718995</v>
      </c>
    </row>
    <row r="840" spans="1:13" ht="15">
      <c r="A840" t="s">
        <v>331</v>
      </c>
      <c r="B840" t="str">
        <f>"14927"</f>
        <v>14927</v>
      </c>
      <c r="C840" t="str">
        <f>"1997"</f>
        <v>1997</v>
      </c>
      <c r="D840" t="str">
        <f>"Heinähattu, Vilttitossu ja iso Elsa"</f>
        <v>Heinähattu, Vilttitossu ja iso Elsa</v>
      </c>
      <c r="E840" t="str">
        <f t="shared" si="77"/>
        <v>viro</v>
      </c>
      <c r="F840" t="str">
        <f>"proosa"</f>
        <v>proosa</v>
      </c>
      <c r="G840" t="str">
        <f>" lapsed ja noored"</f>
        <v xml:space="preserve"> lapsed ja noored</v>
      </c>
      <c r="H840" t="str">
        <f t="shared" si="76"/>
        <v>2011</v>
      </c>
      <c r="I840" t="str">
        <f>"Heinakübar, Viltsuss ja suur Elsa"</f>
        <v>Heinakübar, Viltsuss ja suur Elsa</v>
      </c>
      <c r="J840" t="str">
        <f>"Grosberg, Reet"</f>
        <v>Grosberg, Reet</v>
      </c>
      <c r="K840" t="str">
        <f>"TEA Kirjastus, Tallinn"</f>
        <v>TEA Kirjastus, Tallinn</v>
      </c>
      <c r="L840" t="str">
        <f>""</f>
        <v/>
      </c>
      <c r="M840" t="str">
        <f>"9789985718995"</f>
        <v>9789985718995</v>
      </c>
    </row>
    <row r="841" spans="1:13" ht="15">
      <c r="A841" t="s">
        <v>341</v>
      </c>
      <c r="B841" t="str">
        <f>"14928"</f>
        <v>14928</v>
      </c>
      <c r="C841" t="str">
        <f>"2010"</f>
        <v>2010</v>
      </c>
      <c r="D841" t="str">
        <f>"Hepoa Tallinnaan : kaksi vuotta kirjeenvaihtajana"</f>
        <v>Hepoa Tallinnaan : kaksi vuotta kirjeenvaihtajana</v>
      </c>
      <c r="E841" t="str">
        <f t="shared" si="77"/>
        <v>viro</v>
      </c>
      <c r="F841" t="str">
        <f>""</f>
        <v/>
      </c>
      <c r="G841" t="str">
        <f>"  täiskasvanud"</f>
        <v xml:space="preserve">  täiskasvanud</v>
      </c>
      <c r="H841" t="str">
        <f t="shared" si="76"/>
        <v>2011</v>
      </c>
      <c r="I841" t="str">
        <f>"(Soome)maalt ja hobusega"</f>
        <v>(Soome)maalt ja hobusega</v>
      </c>
      <c r="J841" t="str">
        <f>"Lepp, Andres"</f>
        <v>Lepp, Andres</v>
      </c>
      <c r="K841" t="str">
        <f>"Sinisukk, Tallinn"</f>
        <v>Sinisukk, Tallinn</v>
      </c>
      <c r="L841" t="str">
        <f>""</f>
        <v/>
      </c>
      <c r="M841" t="str">
        <f>"9789949148110"</f>
        <v>9789949148110</v>
      </c>
    </row>
    <row r="842" spans="1:13" ht="15">
      <c r="A842" t="s">
        <v>385</v>
      </c>
      <c r="B842" t="str">
        <f>"15170"</f>
        <v>15170</v>
      </c>
      <c r="C842" t="str">
        <f>"2008"</f>
        <v>2008</v>
      </c>
      <c r="D842" t="str">
        <f>"Kasvien salaiset voimat"</f>
        <v>Kasvien salaiset voimat</v>
      </c>
      <c r="E842" t="str">
        <f t="shared" si="77"/>
        <v>viro</v>
      </c>
      <c r="F842" t="str">
        <f>""</f>
        <v/>
      </c>
      <c r="G842" t="str">
        <f>"  täiskasvanud"</f>
        <v xml:space="preserve">  täiskasvanud</v>
      </c>
      <c r="H842" t="str">
        <f t="shared" si="76"/>
        <v>2011</v>
      </c>
      <c r="I842" t="str">
        <f>"Taimede varjatud vägi"</f>
        <v>Taimede varjatud vägi</v>
      </c>
      <c r="J842" t="str">
        <f>"Jaanits, Kadri"</f>
        <v>Jaanits, Kadri</v>
      </c>
      <c r="K842" t="str">
        <f>"Varrak, Tallinn"</f>
        <v>Varrak, Tallinn</v>
      </c>
      <c r="L842" t="str">
        <f>""</f>
        <v/>
      </c>
      <c r="M842" t="str">
        <f>"9789985322888"</f>
        <v>9789985322888</v>
      </c>
    </row>
    <row r="843" spans="1:13" ht="15">
      <c r="A843" t="s">
        <v>392</v>
      </c>
      <c r="B843" t="str">
        <f>"11660"</f>
        <v>11660</v>
      </c>
      <c r="C843" t="str">
        <f>"2010"</f>
        <v>2010</v>
      </c>
      <c r="D843" t="str">
        <f>"Totta"</f>
        <v>Totta</v>
      </c>
      <c r="E843" t="str">
        <f t="shared" si="77"/>
        <v>viro</v>
      </c>
      <c r="F843" t="str">
        <f>"romaanid; proosa"</f>
        <v>romaanid; proosa</v>
      </c>
      <c r="G843" t="str">
        <f>"  täiskasvanud"</f>
        <v xml:space="preserve">  täiskasvanud</v>
      </c>
      <c r="H843" t="str">
        <f t="shared" si="76"/>
        <v>2011</v>
      </c>
      <c r="I843" t="str">
        <f>"Tõde"</f>
        <v>Tõde</v>
      </c>
      <c r="J843" t="str">
        <f>"Kaus, Jan"</f>
        <v>Kaus, Jan</v>
      </c>
      <c r="K843" t="str">
        <f>"Pegasus, Tallinn"</f>
        <v>Pegasus, Tallinn</v>
      </c>
      <c r="L843" t="str">
        <f>""</f>
        <v/>
      </c>
      <c r="M843" t="str">
        <f>"978-9949-472-52-9"</f>
        <v>978-9949-472-52-9</v>
      </c>
    </row>
    <row r="844" spans="1:13" ht="15">
      <c r="A844" t="s">
        <v>434</v>
      </c>
      <c r="B844" t="str">
        <f>"11661"</f>
        <v>11661</v>
      </c>
      <c r="C844" t="str">
        <f>"2002"</f>
        <v>2002</v>
      </c>
      <c r="D844" t="str">
        <f>"Tappajan näköinen mies"</f>
        <v>Tappajan näköinen mies</v>
      </c>
      <c r="E844" t="str">
        <f t="shared" si="77"/>
        <v>viro</v>
      </c>
      <c r="F844" t="str">
        <f>"romaanid; põnevus- ja krimikirjandus; proosa"</f>
        <v>romaanid; põnevus- ja krimikirjandus; proosa</v>
      </c>
      <c r="G844" t="str">
        <f>"  täiskasvanud"</f>
        <v xml:space="preserve">  täiskasvanud</v>
      </c>
      <c r="H844" t="str">
        <f t="shared" si="76"/>
        <v>2011</v>
      </c>
      <c r="I844" t="str">
        <f>"Mõrtsuka näoga mees"</f>
        <v>Mõrtsuka näoga mees</v>
      </c>
      <c r="J844" t="str">
        <f>"Väli, Anu"</f>
        <v>Väli, Anu</v>
      </c>
      <c r="K844" t="str">
        <f>"Pegasus, Tallinn"</f>
        <v>Pegasus, Tallinn</v>
      </c>
      <c r="L844" t="str">
        <f>""</f>
        <v/>
      </c>
      <c r="M844" t="str">
        <f>"978-9949-472-34-5"</f>
        <v>978-9949-472-34-5</v>
      </c>
    </row>
    <row r="845" spans="1:13" ht="15">
      <c r="A845" t="s">
        <v>452</v>
      </c>
      <c r="B845" t="str">
        <f>"14926"</f>
        <v>14926</v>
      </c>
      <c r="C845" t="str">
        <f>"2009"</f>
        <v>2009</v>
      </c>
      <c r="D845" t="str">
        <f>"Legenda : Lauri Törni - Larry Thorne"</f>
        <v>Legenda : Lauri Törni - Larry Thorne</v>
      </c>
      <c r="E845" t="str">
        <f t="shared" si="77"/>
        <v>viro</v>
      </c>
      <c r="F845" t="str">
        <f>""</f>
        <v/>
      </c>
      <c r="G845" t="str">
        <f>"  täiskasvanud"</f>
        <v xml:space="preserve">  täiskasvanud</v>
      </c>
      <c r="H845" t="str">
        <f t="shared" si="76"/>
        <v>2011</v>
      </c>
      <c r="I845" t="str">
        <f>"Lauri Törni - Legend - Larry Thorne"</f>
        <v>Lauri Törni - Legend - Larry Thorne</v>
      </c>
      <c r="J845" t="str">
        <f>"Villmann, Peeter"</f>
        <v>Villmann, Peeter</v>
      </c>
      <c r="K845" t="str">
        <f>"Revontuli, Tampere"</f>
        <v>Revontuli, Tampere</v>
      </c>
      <c r="L845" t="str">
        <f>""</f>
        <v/>
      </c>
      <c r="M845" t="str">
        <f>"9789949448531"</f>
        <v>9789949448531</v>
      </c>
    </row>
    <row r="846" spans="1:13" ht="15">
      <c r="A846" t="s">
        <v>471</v>
      </c>
      <c r="B846" t="str">
        <f>"15526"</f>
        <v>15526</v>
      </c>
      <c r="C846" t="str">
        <f>"2008"</f>
        <v>2008</v>
      </c>
      <c r="D846" t="str">
        <f>"Mitä lapsi tarvitsee hyvään kasvuun"</f>
        <v>Mitä lapsi tarvitsee hyvään kasvuun</v>
      </c>
      <c r="E846" t="str">
        <f t="shared" si="77"/>
        <v>viro</v>
      </c>
      <c r="F846" t="str">
        <f>""</f>
        <v/>
      </c>
      <c r="G846" t="str">
        <f>"  täiskasvanud"</f>
        <v xml:space="preserve">  täiskasvanud</v>
      </c>
      <c r="H846" t="str">
        <f t="shared" si="76"/>
        <v>2011</v>
      </c>
      <c r="I846" t="str">
        <f>"Mida on lapsel kasvamiseks vaja?"</f>
        <v>Mida on lapsel kasvamiseks vaja?</v>
      </c>
      <c r="J846" t="str">
        <f>"Tallo, Toomas"</f>
        <v>Tallo, Toomas</v>
      </c>
      <c r="K846" t="str">
        <f>"Varrak, Tallinn"</f>
        <v>Varrak, Tallinn</v>
      </c>
      <c r="L846" t="str">
        <f>""</f>
        <v/>
      </c>
      <c r="M846" t="str">
        <f>"978-9985-3-2336-6"</f>
        <v>978-9985-3-2336-6</v>
      </c>
    </row>
    <row r="847" spans="1:13" ht="15">
      <c r="A847" t="s">
        <v>523</v>
      </c>
      <c r="B847" t="str">
        <f>"15171"</f>
        <v>15171</v>
      </c>
      <c r="C847" t="str">
        <f>"2010"</f>
        <v>2010</v>
      </c>
      <c r="D847" t="str">
        <f>"Jaan Tõnisson ja Viron itsenäisyys"</f>
        <v>Jaan Tõnisson ja Viron itsenäisyys</v>
      </c>
      <c r="E847" t="str">
        <f t="shared" si="77"/>
        <v>viro</v>
      </c>
      <c r="F847" t="str">
        <f>""</f>
        <v/>
      </c>
      <c r="G847" t="str">
        <f>"  täiskasvanud"</f>
        <v xml:space="preserve">  täiskasvanud</v>
      </c>
      <c r="H847" t="str">
        <f t="shared" si="76"/>
        <v>2011</v>
      </c>
      <c r="I847" t="str">
        <f>"Jaan Tõnisson ja Eesti iseseisvus"</f>
        <v>Jaan Tõnisson ja Eesti iseseisvus</v>
      </c>
      <c r="J847" t="str">
        <f>"Jaanits, Kadri, Kurmiste, Katrin"</f>
        <v>Jaanits, Kadri, Kurmiste, Katrin</v>
      </c>
      <c r="K847" t="str">
        <f>"Varrak, Tallinn"</f>
        <v>Varrak, Tallinn</v>
      </c>
      <c r="L847" t="str">
        <f>""</f>
        <v/>
      </c>
      <c r="M847" t="str">
        <f>"9789985322246"</f>
        <v>9789985322246</v>
      </c>
    </row>
    <row r="848" spans="1:13" ht="15">
      <c r="A848" t="s">
        <v>530</v>
      </c>
      <c r="B848" t="str">
        <f>"11542"</f>
        <v>11542</v>
      </c>
      <c r="C848" t="str">
        <f>"2010"</f>
        <v>2010</v>
      </c>
      <c r="D848" t="str">
        <f>"Merikarhun matkassa : lasten veneilykirja"</f>
        <v>Merikarhun matkassa : lasten veneilykirja</v>
      </c>
      <c r="E848" t="str">
        <f t="shared" si="77"/>
        <v>viro</v>
      </c>
      <c r="F848" t="str">
        <f>""</f>
        <v/>
      </c>
      <c r="G848" t="str">
        <f>" lapsed ja noored"</f>
        <v xml:space="preserve"> lapsed ja noored</v>
      </c>
      <c r="H848" t="str">
        <f t="shared" si="76"/>
        <v>2011</v>
      </c>
      <c r="I848" t="str">
        <f>"Merekarud"</f>
        <v>Merekarud</v>
      </c>
      <c r="J848" t="str">
        <f>"Kamarik, Teet"</f>
        <v>Kamarik, Teet</v>
      </c>
      <c r="K848" t="str">
        <f>"Eesti Päevaleht, Tallinn"</f>
        <v>Eesti Päevaleht, Tallinn</v>
      </c>
      <c r="L848" t="str">
        <f>""</f>
        <v/>
      </c>
      <c r="M848" t="str">
        <f>"978-9949-475-43-8"</f>
        <v>978-9949-475-43-8</v>
      </c>
    </row>
    <row r="849" spans="1:13" ht="15">
      <c r="A849" t="s">
        <v>540</v>
      </c>
      <c r="B849" t="str">
        <f>"11659"</f>
        <v>11659</v>
      </c>
      <c r="C849" t="str">
        <f>""</f>
        <v/>
      </c>
      <c r="D849" t="str">
        <f>""</f>
        <v/>
      </c>
      <c r="E849" t="str">
        <f t="shared" si="77"/>
        <v>viro</v>
      </c>
      <c r="F849" t="str">
        <f>"luule, lüürika"</f>
        <v>luule, lüürika</v>
      </c>
      <c r="G849" t="str">
        <f>"  täiskasvanud"</f>
        <v xml:space="preserve">  täiskasvanud</v>
      </c>
      <c r="H849" t="str">
        <f t="shared" si="76"/>
        <v>2011</v>
      </c>
      <c r="I849" t="str">
        <f>"Kodu südames"</f>
        <v>Kodu südames</v>
      </c>
      <c r="J849" t="str">
        <f>"Veersalu, Aune"</f>
        <v>Veersalu, Aune</v>
      </c>
      <c r="K849" t="str">
        <f>"Kirjastuskeskus, Tallinn"</f>
        <v>Kirjastuskeskus, Tallinn</v>
      </c>
      <c r="L849" t="str">
        <f>""</f>
        <v/>
      </c>
      <c r="M849" t="str">
        <f>"978-9949-445-51-6"</f>
        <v>978-9949-445-51-6</v>
      </c>
    </row>
    <row r="850" spans="1:13" ht="15">
      <c r="A850" t="s">
        <v>560</v>
      </c>
      <c r="B850" t="str">
        <f>"15130"</f>
        <v>15130</v>
      </c>
      <c r="C850" t="str">
        <f>"2009"</f>
        <v>2009</v>
      </c>
      <c r="D850" t="str">
        <f>"Kristian siviilipalvelusmiehenä : sotaromaani"</f>
        <v>Kristian siviilipalvelusmiehenä : sotaromaani</v>
      </c>
      <c r="E850" t="str">
        <f t="shared" si="77"/>
        <v>viro</v>
      </c>
      <c r="F850" t="str">
        <f>"romaanid; proosa"</f>
        <v>romaanid; proosa</v>
      </c>
      <c r="G850" t="str">
        <f>"  täiskasvanud"</f>
        <v xml:space="preserve">  täiskasvanud</v>
      </c>
      <c r="H850" t="str">
        <f t="shared" si="76"/>
        <v>2011</v>
      </c>
      <c r="I850" t="str">
        <f>"Kristian asendusteenistuses"</f>
        <v>Kristian asendusteenistuses</v>
      </c>
      <c r="J850" t="str">
        <f>"Mõisnik, Mihkel"</f>
        <v>Mõisnik, Mihkel</v>
      </c>
      <c r="K850" t="str">
        <f>"Hotger, Tallinn"</f>
        <v>Hotger, Tallinn</v>
      </c>
      <c r="L850" t="str">
        <f>""</f>
        <v/>
      </c>
      <c r="M850" t="str">
        <f>"9789949457052"</f>
        <v>9789949457052</v>
      </c>
    </row>
    <row r="851" spans="1:13" ht="15">
      <c r="A851" t="s">
        <v>564</v>
      </c>
      <c r="B851" t="str">
        <f>"11631"</f>
        <v>11631</v>
      </c>
      <c r="C851" t="str">
        <f>"2006"</f>
        <v>2006</v>
      </c>
      <c r="D851" t="str">
        <f>"Där vi en gång gått : en roman om en stad och om vår vilja att bli högre än gräset"</f>
        <v>Där vi en gång gått : en roman om en stad och om vår vilja att bli högre än gräset</v>
      </c>
      <c r="E851" t="str">
        <f t="shared" si="77"/>
        <v>viro</v>
      </c>
      <c r="F851" t="str">
        <f>"romaanid; proosa"</f>
        <v>romaanid; proosa</v>
      </c>
      <c r="G851" t="str">
        <f>"  täiskasvanud"</f>
        <v xml:space="preserve">  täiskasvanud</v>
      </c>
      <c r="H851" t="str">
        <f t="shared" si="76"/>
        <v>2011</v>
      </c>
      <c r="I851" t="str">
        <f>"Kus kõndisime kunagi"</f>
        <v>Kus kõndisime kunagi</v>
      </c>
      <c r="J851" t="str">
        <f>"Arnover, Tõnis"</f>
        <v>Arnover, Tõnis</v>
      </c>
      <c r="K851" t="str">
        <f>"Eesti Raamat, Tallinn"</f>
        <v>Eesti Raamat, Tallinn</v>
      </c>
      <c r="L851" t="str">
        <f>""</f>
        <v/>
      </c>
      <c r="M851" t="str">
        <f>"978-9985-65-915-1"</f>
        <v>978-9985-65-915-1</v>
      </c>
    </row>
    <row r="852" spans="1:13" ht="15">
      <c r="A852" t="s">
        <v>29</v>
      </c>
      <c r="B852" t="str">
        <f>"12090"</f>
        <v>12090</v>
      </c>
      <c r="C852" t="str">
        <f>"2011"</f>
        <v>2011</v>
      </c>
      <c r="D852" t="str">
        <f>"Junassa"</f>
        <v>Junassa</v>
      </c>
      <c r="E852" t="str">
        <f t="shared" si="77"/>
        <v>viro</v>
      </c>
      <c r="F852" t="str">
        <f>""</f>
        <v/>
      </c>
      <c r="G852" t="str">
        <f>"  täiskasvanud"</f>
        <v xml:space="preserve">  täiskasvanud</v>
      </c>
      <c r="H852" t="str">
        <f aca="true" t="shared" si="78" ref="H852:H873">"2012"</f>
        <v>2012</v>
      </c>
      <c r="I852" t="str">
        <f>"Rongis"</f>
        <v>Rongis</v>
      </c>
      <c r="J852" t="str">
        <f>"Sinijärv, Erkki"</f>
        <v>Sinijärv, Erkki</v>
      </c>
      <c r="K852" t="str">
        <f>"Menu, Tallinn"</f>
        <v>Menu, Tallinn</v>
      </c>
      <c r="L852" t="str">
        <f>""</f>
        <v/>
      </c>
      <c r="M852" t="str">
        <f>"9789949495252"</f>
        <v>9789949495252</v>
      </c>
    </row>
    <row r="853" spans="1:13" ht="15">
      <c r="A853" t="s">
        <v>39</v>
      </c>
      <c r="B853" t="str">
        <f>"12073"</f>
        <v>12073</v>
      </c>
      <c r="C853" t="str">
        <f>"2009"</f>
        <v>2009</v>
      </c>
      <c r="D853" t="str">
        <f>"Herra Darwinin puutarhuri"</f>
        <v>Herra Darwinin puutarhuri</v>
      </c>
      <c r="E853" t="str">
        <f t="shared" si="77"/>
        <v>viro</v>
      </c>
      <c r="F853" t="str">
        <f>"romaanid; proosa"</f>
        <v>romaanid; proosa</v>
      </c>
      <c r="G853" t="str">
        <f>"  täiskasvanud"</f>
        <v xml:space="preserve">  täiskasvanud</v>
      </c>
      <c r="H853" t="str">
        <f t="shared" si="78"/>
        <v>2012</v>
      </c>
      <c r="I853" t="str">
        <f>"Härra Darwini aednik"</f>
        <v>Härra Darwini aednik</v>
      </c>
      <c r="J853" t="str">
        <f>"Põldmäe, Asta"</f>
        <v>Põldmäe, Asta</v>
      </c>
      <c r="K853" t="str">
        <f>"Loomingu raamatukogu, Tallinn"</f>
        <v>Loomingu raamatukogu, Tallinn</v>
      </c>
      <c r="L853" t="str">
        <f>""</f>
        <v/>
      </c>
      <c r="M853" t="str">
        <f>"978-9949-514-03-8"</f>
        <v>978-9949-514-03-8</v>
      </c>
    </row>
    <row r="854" spans="1:13" ht="15">
      <c r="A854" t="s">
        <v>53</v>
      </c>
      <c r="B854" t="str">
        <f>"11901"</f>
        <v>11901</v>
      </c>
      <c r="C854" t="str">
        <f>"2006"</f>
        <v>2006</v>
      </c>
      <c r="D854" t="str">
        <f>"Perhoskerääjä"</f>
        <v>Perhoskerääjä</v>
      </c>
      <c r="E854" t="str">
        <f t="shared" si="77"/>
        <v>viro</v>
      </c>
      <c r="F854" t="str">
        <f>"romaanid; proosa"</f>
        <v>romaanid; proosa</v>
      </c>
      <c r="G854" t="str">
        <f>"  täiskasvanud"</f>
        <v xml:space="preserve">  täiskasvanud</v>
      </c>
      <c r="H854" t="str">
        <f t="shared" si="78"/>
        <v>2012</v>
      </c>
      <c r="I854" t="str">
        <f>"Liblikakoguja"</f>
        <v>Liblikakoguja</v>
      </c>
      <c r="J854" t="str">
        <f>"Lagerspetz, Hille"</f>
        <v>Lagerspetz, Hille</v>
      </c>
      <c r="K854" t="str">
        <f>"Hea Lugu, Tallinn"</f>
        <v>Hea Lugu, Tallinn</v>
      </c>
      <c r="L854" t="str">
        <f>""</f>
        <v/>
      </c>
      <c r="M854" t="str">
        <f>"978-9949-489-27-5"</f>
        <v>978-9949-489-27-5</v>
      </c>
    </row>
    <row r="855" spans="1:13" ht="15">
      <c r="A855" t="s">
        <v>68</v>
      </c>
      <c r="B855" t="str">
        <f>"12022"</f>
        <v>12022</v>
      </c>
      <c r="C855" t="str">
        <f>"2004"</f>
        <v>2004</v>
      </c>
      <c r="D855" t="str">
        <f>"Tatu ja Patu päiväkodissa"</f>
        <v>Tatu ja Patu päiväkodissa</v>
      </c>
      <c r="E855" t="str">
        <f t="shared" si="77"/>
        <v>viro</v>
      </c>
      <c r="F855" t="str">
        <f>"pildiraamatud"</f>
        <v>pildiraamatud</v>
      </c>
      <c r="G855" t="str">
        <f>" lapsed ja noored"</f>
        <v xml:space="preserve"> lapsed ja noored</v>
      </c>
      <c r="H855" t="str">
        <f t="shared" si="78"/>
        <v>2012</v>
      </c>
      <c r="I855" t="str">
        <f>"Teedu ja Peedu lasteaias"</f>
        <v>Teedu ja Peedu lasteaias</v>
      </c>
      <c r="J855" t="str">
        <f>"Lagerspetz, Hille"</f>
        <v>Lagerspetz, Hille</v>
      </c>
      <c r="K855" t="str">
        <f>"Eesti Päevaleht, Tallinn"</f>
        <v>Eesti Päevaleht, Tallinn</v>
      </c>
      <c r="L855" t="str">
        <f>""</f>
        <v/>
      </c>
      <c r="M855" t="str">
        <f>"978-9949-475-47-6"</f>
        <v>978-9949-475-47-6</v>
      </c>
    </row>
    <row r="856" spans="1:13" ht="15">
      <c r="A856" t="s">
        <v>68</v>
      </c>
      <c r="B856" t="str">
        <f>"12105"</f>
        <v>12105</v>
      </c>
      <c r="C856" t="str">
        <f>"2005"</f>
        <v>2005</v>
      </c>
      <c r="D856" t="str">
        <f>"Tatun ja Patun oudot kojeet"</f>
        <v>Tatun ja Patun oudot kojeet</v>
      </c>
      <c r="E856" t="str">
        <f t="shared" si="77"/>
        <v>viro</v>
      </c>
      <c r="F856" t="str">
        <f>"pildiraamatud"</f>
        <v>pildiraamatud</v>
      </c>
      <c r="G856" t="str">
        <f>" lapsed ja noored"</f>
        <v xml:space="preserve"> lapsed ja noored</v>
      </c>
      <c r="H856" t="str">
        <f t="shared" si="78"/>
        <v>2012</v>
      </c>
      <c r="I856" t="str">
        <f>"Teedu ja Peedu imelikud masinad"</f>
        <v>Teedu ja Peedu imelikud masinad</v>
      </c>
      <c r="J856" t="str">
        <f>"Lagerspetz, Hille"</f>
        <v>Lagerspetz, Hille</v>
      </c>
      <c r="K856" t="str">
        <f>"Hea Lugu, Tallinn"</f>
        <v>Hea Lugu, Tallinn</v>
      </c>
      <c r="L856" t="str">
        <f>""</f>
        <v/>
      </c>
      <c r="M856" t="str">
        <f>"978-9949-475-49-0"</f>
        <v>978-9949-475-49-0</v>
      </c>
    </row>
    <row r="857" spans="1:13" ht="15">
      <c r="A857" t="s">
        <v>147</v>
      </c>
      <c r="B857" t="str">
        <f>"14984"</f>
        <v>14984</v>
      </c>
      <c r="C857" t="str">
        <f>"1947"</f>
        <v>1947</v>
      </c>
      <c r="D857" t="str">
        <f>"Kanssavaeltajia ja ohikulkijoita (1945) ; Uusia kanssavaeltajia ja ohikulkijoita (1946) ; Kolmas saattue kanssavaeltajia ja ohikulkijoita (1947)"</f>
        <v>Kanssavaeltajia ja ohikulkijoita (1945) ; Uusia kanssavaeltajia ja ohikulkijoita (1946) ; Kolmas saattue kanssavaeltajia ja ohikulkijoita (1947)</v>
      </c>
      <c r="E857" t="str">
        <f t="shared" si="77"/>
        <v>viro</v>
      </c>
      <c r="F857" t="str">
        <f>""</f>
        <v/>
      </c>
      <c r="G857" t="str">
        <f>"  täiskasvanud"</f>
        <v xml:space="preserve">  täiskasvanud</v>
      </c>
      <c r="H857" t="str">
        <f t="shared" si="78"/>
        <v>2012</v>
      </c>
      <c r="I857" t="str">
        <f>"Mu saatuse maa"</f>
        <v>Mu saatuse maa</v>
      </c>
      <c r="J857" t="str">
        <f>"Aavik, Johannes, Jõgi, Mall"</f>
        <v>Aavik, Johannes, Jõgi, Mall</v>
      </c>
      <c r="K857" t="str">
        <f>"Tammeraamat, [s. l.]"</f>
        <v>Tammeraamat, [s. l.]</v>
      </c>
      <c r="L857" t="str">
        <f>""</f>
        <v/>
      </c>
      <c r="M857" t="str">
        <f>"978-9949-482-37-5"</f>
        <v>978-9949-482-37-5</v>
      </c>
    </row>
    <row r="858" spans="1:13" ht="15">
      <c r="A858" t="s">
        <v>173</v>
      </c>
      <c r="B858" t="str">
        <f>"12066"</f>
        <v>12066</v>
      </c>
      <c r="C858" t="str">
        <f>"2011"</f>
        <v>2011</v>
      </c>
      <c r="D858" t="str">
        <f>"Kätilö"</f>
        <v>Kätilö</v>
      </c>
      <c r="E858" t="str">
        <f t="shared" si="77"/>
        <v>viro</v>
      </c>
      <c r="F858" t="str">
        <f>"romaanid; proosa"</f>
        <v>romaanid; proosa</v>
      </c>
      <c r="G858" t="str">
        <f>"  täiskasvanud"</f>
        <v xml:space="preserve">  täiskasvanud</v>
      </c>
      <c r="H858" t="str">
        <f t="shared" si="78"/>
        <v>2012</v>
      </c>
      <c r="I858" t="str">
        <f>"Ämmaemand"</f>
        <v>Ämmaemand</v>
      </c>
      <c r="J858" t="str">
        <f>"Jaanits, Kadri"</f>
        <v>Jaanits, Kadri</v>
      </c>
      <c r="K858" t="str">
        <f>"Koolibri, Tallinn"</f>
        <v>Koolibri, Tallinn</v>
      </c>
      <c r="L858" t="str">
        <f>""</f>
        <v/>
      </c>
      <c r="M858" t="str">
        <f>" 978-9985-0-3016-5"</f>
        <v xml:space="preserve"> 978-9985-0-3016-5</v>
      </c>
    </row>
    <row r="859" spans="1:13" ht="15">
      <c r="A859" t="s">
        <v>201</v>
      </c>
      <c r="B859" t="str">
        <f>"11868"</f>
        <v>11868</v>
      </c>
      <c r="C859" t="str">
        <f>"2010"</f>
        <v>2010</v>
      </c>
      <c r="D859" t="str">
        <f>"Me Rosvolat"</f>
        <v>Me Rosvolat</v>
      </c>
      <c r="E859" t="str">
        <f t="shared" si="77"/>
        <v>viro</v>
      </c>
      <c r="F859" t="str">
        <f>"romaanid; proosa"</f>
        <v>romaanid; proosa</v>
      </c>
      <c r="G859" t="str">
        <f>" lapsed ja noored"</f>
        <v xml:space="preserve"> lapsed ja noored</v>
      </c>
      <c r="H859" t="str">
        <f t="shared" si="78"/>
        <v>2012</v>
      </c>
      <c r="I859" t="str">
        <f>"Meie, Rööbelid"</f>
        <v>Meie, Rööbelid</v>
      </c>
      <c r="J859" t="str">
        <f>"Kaldmaa, Kätlin"</f>
        <v>Kaldmaa, Kätlin</v>
      </c>
      <c r="K859" t="str">
        <f>"Ajakirjade Kirjastus, Tallinn"</f>
        <v>Ajakirjade Kirjastus, Tallinn</v>
      </c>
      <c r="L859" t="str">
        <f>""</f>
        <v/>
      </c>
      <c r="M859" t="str">
        <f>"978-9949-502-09-7"</f>
        <v>978-9949-502-09-7</v>
      </c>
    </row>
    <row r="860" spans="1:13" ht="15">
      <c r="A860" t="s">
        <v>217</v>
      </c>
      <c r="B860" t="str">
        <f>"14924"</f>
        <v>14924</v>
      </c>
      <c r="C860" t="str">
        <f>"1984"</f>
        <v>1984</v>
      </c>
      <c r="D860" t="str">
        <f>"Yökirja eli Mitä kaikkea tapahtuukaan yöllä"</f>
        <v>Yökirja eli Mitä kaikkea tapahtuukaan yöllä</v>
      </c>
      <c r="E860" t="str">
        <f t="shared" si="77"/>
        <v>viro</v>
      </c>
      <c r="F860" t="str">
        <f>"pildiraamatud"</f>
        <v>pildiraamatud</v>
      </c>
      <c r="G860" t="str">
        <f>" lapsed ja noored"</f>
        <v xml:space="preserve"> lapsed ja noored</v>
      </c>
      <c r="H860" t="str">
        <f t="shared" si="78"/>
        <v>2012</v>
      </c>
      <c r="I860" t="str">
        <f>"Ööaeg, ehk, Mis kõik juhtub öösel"</f>
        <v>Ööaeg, ehk, Mis kõik juhtub öösel</v>
      </c>
      <c r="J860" t="str">
        <f>"Uustalu, Kadi"</f>
        <v>Uustalu, Kadi</v>
      </c>
      <c r="K860" t="str">
        <f>"Ajakirjade Kirjastus, Tallinn"</f>
        <v>Ajakirjade Kirjastus, Tallinn</v>
      </c>
      <c r="L860" t="str">
        <f>""</f>
        <v/>
      </c>
      <c r="M860" t="str">
        <f>"9789949502110"</f>
        <v>9789949502110</v>
      </c>
    </row>
    <row r="861" spans="1:13" ht="15">
      <c r="A861" t="s">
        <v>219</v>
      </c>
      <c r="B861" t="str">
        <f>"14924"</f>
        <v>14924</v>
      </c>
      <c r="C861" t="str">
        <f>"1984"</f>
        <v>1984</v>
      </c>
      <c r="D861" t="str">
        <f>"Yökirja eli Mitä kaikkea tapahtuukaan yöllä"</f>
        <v>Yökirja eli Mitä kaikkea tapahtuukaan yöllä</v>
      </c>
      <c r="E861" t="str">
        <f t="shared" si="77"/>
        <v>viro</v>
      </c>
      <c r="F861" t="str">
        <f>"pildiraamatud"</f>
        <v>pildiraamatud</v>
      </c>
      <c r="G861" t="str">
        <f>" lapsed ja noored"</f>
        <v xml:space="preserve"> lapsed ja noored</v>
      </c>
      <c r="H861" t="str">
        <f t="shared" si="78"/>
        <v>2012</v>
      </c>
      <c r="I861" t="str">
        <f>"Ööaeg, ehk, Mis kõik juhtub öösel"</f>
        <v>Ööaeg, ehk, Mis kõik juhtub öösel</v>
      </c>
      <c r="J861" t="str">
        <f>"Uustalu, Kadi"</f>
        <v>Uustalu, Kadi</v>
      </c>
      <c r="K861" t="str">
        <f>"Ajakirjade Kirjastus, Tallinn"</f>
        <v>Ajakirjade Kirjastus, Tallinn</v>
      </c>
      <c r="L861" t="str">
        <f>""</f>
        <v/>
      </c>
      <c r="M861" t="str">
        <f>"9789949502110"</f>
        <v>9789949502110</v>
      </c>
    </row>
    <row r="862" spans="1:13" ht="15">
      <c r="A862" t="s">
        <v>224</v>
      </c>
      <c r="B862" t="str">
        <f>"11762"</f>
        <v>11762</v>
      </c>
      <c r="C862" t="str">
        <f>"2011"</f>
        <v>2011</v>
      </c>
      <c r="D862" t="str">
        <f>"Kerjäläinen ja jänis"</f>
        <v>Kerjäläinen ja jänis</v>
      </c>
      <c r="E862" t="str">
        <f t="shared" si="77"/>
        <v>viro</v>
      </c>
      <c r="F862" t="str">
        <f>"romaanid; proosa"</f>
        <v>romaanid; proosa</v>
      </c>
      <c r="G862" t="str">
        <f>"  täiskasvanud"</f>
        <v xml:space="preserve">  täiskasvanud</v>
      </c>
      <c r="H862" t="str">
        <f t="shared" si="78"/>
        <v>2012</v>
      </c>
      <c r="I862" t="str">
        <f>"Kerjus ja jänes"</f>
        <v>Kerjus ja jänes</v>
      </c>
      <c r="J862" t="str">
        <f>"Jaanits, Kadri"</f>
        <v>Jaanits, Kadri</v>
      </c>
      <c r="K862" t="str">
        <f>"Tänapäev, Tallinn"</f>
        <v>Tänapäev, Tallinn</v>
      </c>
      <c r="L862" t="str">
        <f>""</f>
        <v/>
      </c>
      <c r="M862" t="str">
        <f>"978-9949-27-185-6"</f>
        <v>978-9949-27-185-6</v>
      </c>
    </row>
    <row r="863" spans="1:13" ht="15">
      <c r="A863" t="s">
        <v>305</v>
      </c>
      <c r="B863" t="str">
        <f>"12324"</f>
        <v>12324</v>
      </c>
      <c r="C863" t="str">
        <f>"2006"</f>
        <v>2006</v>
      </c>
      <c r="D863" t="str">
        <f>"Finlands historia : linjer, strukturer, vändpunkter"</f>
        <v>Finlands historia : linjer, strukturer, vändpunkter</v>
      </c>
      <c r="E863" t="str">
        <f t="shared" si="77"/>
        <v>viro</v>
      </c>
      <c r="F863" t="str">
        <f>""</f>
        <v/>
      </c>
      <c r="G863" t="str">
        <f>"  täiskasvanud"</f>
        <v xml:space="preserve">  täiskasvanud</v>
      </c>
      <c r="H863" t="str">
        <f t="shared" si="78"/>
        <v>2012</v>
      </c>
      <c r="I863" t="str">
        <f>"Soome ajalugu : suundumused, põhijooned ja pöördepunktid"</f>
        <v>Soome ajalugu : suundumused, põhijooned ja pöördepunktid</v>
      </c>
      <c r="J863" t="str">
        <f>"Olesk, Sirje"</f>
        <v>Olesk, Sirje</v>
      </c>
      <c r="K863" t="str">
        <f>"Ilmamaa, Tartu"</f>
        <v>Ilmamaa, Tartu</v>
      </c>
      <c r="L863" t="str">
        <f>""</f>
        <v/>
      </c>
      <c r="M863" t="str">
        <f>"978-9985-77-422-9"</f>
        <v>978-9985-77-422-9</v>
      </c>
    </row>
    <row r="864" spans="1:13" ht="15">
      <c r="A864" t="s">
        <v>323</v>
      </c>
      <c r="B864" t="str">
        <f>"12410"</f>
        <v>12410</v>
      </c>
      <c r="C864" t="str">
        <f>"2010"</f>
        <v>2010</v>
      </c>
      <c r="D864" t="str">
        <f>"Kolmijalkainen mies"</f>
        <v>Kolmijalkainen mies</v>
      </c>
      <c r="E864" t="str">
        <f t="shared" si="77"/>
        <v>viro</v>
      </c>
      <c r="F864" t="str">
        <f>"romaanid; põnevus- ja krimikirjandus; proosa"</f>
        <v>romaanid; põnevus- ja krimikirjandus; proosa</v>
      </c>
      <c r="G864" t="str">
        <f>"  täiskasvanud"</f>
        <v xml:space="preserve">  täiskasvanud</v>
      </c>
      <c r="H864" t="str">
        <f t="shared" si="78"/>
        <v>2012</v>
      </c>
      <c r="I864" t="str">
        <f>"Kolme jalaga mees"</f>
        <v>Kolme jalaga mees</v>
      </c>
      <c r="J864" t="str">
        <f>"Ringeveld, Katrin"</f>
        <v>Ringeveld, Katrin</v>
      </c>
      <c r="K864" t="str">
        <f>"Eesti Raamat, Tallinn"</f>
        <v>Eesti Raamat, Tallinn</v>
      </c>
      <c r="L864" t="str">
        <f>""</f>
        <v/>
      </c>
      <c r="M864" t="str">
        <f>"978-9985-65-968-7"</f>
        <v>978-9985-65-968-7</v>
      </c>
    </row>
    <row r="865" spans="1:13" ht="15">
      <c r="A865" t="s">
        <v>326</v>
      </c>
      <c r="B865" t="str">
        <f>"12229"</f>
        <v>12229</v>
      </c>
      <c r="C865" t="str">
        <f>"2011"</f>
        <v>2011</v>
      </c>
      <c r="D865" t="str">
        <f>"Tikkumäen talli"</f>
        <v>Tikkumäen talli</v>
      </c>
      <c r="E865" t="str">
        <f t="shared" si="77"/>
        <v>viro</v>
      </c>
      <c r="F865" t="str">
        <f>"pildiraamatud"</f>
        <v>pildiraamatud</v>
      </c>
      <c r="G865" t="str">
        <f>" lapsed ja noored"</f>
        <v xml:space="preserve"> lapsed ja noored</v>
      </c>
      <c r="H865" t="str">
        <f t="shared" si="78"/>
        <v>2012</v>
      </c>
      <c r="I865" t="str">
        <f>"Tikumäe tall"</f>
        <v>Tikumäe tall</v>
      </c>
      <c r="J865" t="str">
        <f>"Vunder, Marika"</f>
        <v>Vunder, Marika</v>
      </c>
      <c r="K865" t="str">
        <f>"Avita, Tallinn"</f>
        <v>Avita, Tallinn</v>
      </c>
      <c r="L865" t="str">
        <f>""</f>
        <v/>
      </c>
      <c r="M865" t="str">
        <f>"9789985219089"</f>
        <v>9789985219089</v>
      </c>
    </row>
    <row r="866" spans="1:13" ht="15">
      <c r="A866" t="s">
        <v>346</v>
      </c>
      <c r="B866" t="str">
        <f>"12202"</f>
        <v>12202</v>
      </c>
      <c r="C866" t="str">
        <f>"2012"</f>
        <v>2012</v>
      </c>
      <c r="D866" t="str">
        <f>"Kun kyyhkyset katosivat"</f>
        <v>Kun kyyhkyset katosivat</v>
      </c>
      <c r="E866" t="str">
        <f t="shared" si="77"/>
        <v>viro</v>
      </c>
      <c r="F866" t="str">
        <f>"romaanid; proosa"</f>
        <v>romaanid; proosa</v>
      </c>
      <c r="G866" t="str">
        <f>"  täiskasvanud"</f>
        <v xml:space="preserve">  täiskasvanud</v>
      </c>
      <c r="H866" t="str">
        <f t="shared" si="78"/>
        <v>2012</v>
      </c>
      <c r="I866" t="str">
        <f>"Kui tuvid kadusid"</f>
        <v>Kui tuvid kadusid</v>
      </c>
      <c r="J866" t="str">
        <f>"Kaus, Jan"</f>
        <v>Kaus, Jan</v>
      </c>
      <c r="K866" t="str">
        <f>"Varrak, Tallinn"</f>
        <v>Varrak, Tallinn</v>
      </c>
      <c r="L866" t="str">
        <f>""</f>
        <v/>
      </c>
      <c r="M866" t="str">
        <f>"978-9985-3-2619-0"</f>
        <v>978-9985-3-2619-0</v>
      </c>
    </row>
    <row r="867" spans="1:13" ht="15">
      <c r="A867" t="s">
        <v>401</v>
      </c>
      <c r="B867" t="str">
        <f>"12325"</f>
        <v>12325</v>
      </c>
      <c r="C867" t="str">
        <f>"2011"</f>
        <v>2011</v>
      </c>
      <c r="D867" t="str">
        <f>"Pitkä matka lähelle : naapuriksi vapaa Viro"</f>
        <v>Pitkä matka lähelle : naapuriksi vapaa Viro</v>
      </c>
      <c r="E867" t="str">
        <f t="shared" si="77"/>
        <v>viro</v>
      </c>
      <c r="F867" t="str">
        <f>""</f>
        <v/>
      </c>
      <c r="G867" t="str">
        <f>"  täiskasvanud"</f>
        <v xml:space="preserve">  täiskasvanud</v>
      </c>
      <c r="H867" t="str">
        <f t="shared" si="78"/>
        <v>2012</v>
      </c>
      <c r="I867" t="str">
        <f>"Pikk teekond lähedale"</f>
        <v>Pikk teekond lähedale</v>
      </c>
      <c r="J867" t="str">
        <f>"Kaaber, Ene"</f>
        <v>Kaaber, Ene</v>
      </c>
      <c r="K867" t="str">
        <f>"K &amp; K, Tallinn"</f>
        <v>K &amp; K, Tallinn</v>
      </c>
      <c r="L867" t="str">
        <f>""</f>
        <v/>
      </c>
      <c r="M867" t="str">
        <f>"978-9985-9152-8-8"</f>
        <v>978-9985-9152-8-8</v>
      </c>
    </row>
    <row r="868" spans="1:13" ht="15">
      <c r="A868" t="s">
        <v>434</v>
      </c>
      <c r="B868" t="str">
        <f>"12227"</f>
        <v>12227</v>
      </c>
      <c r="C868" t="str">
        <f>"2003"</f>
        <v>2003</v>
      </c>
      <c r="D868" t="str">
        <f>"Hyvä veli, paha veli"</f>
        <v>Hyvä veli, paha veli</v>
      </c>
      <c r="E868" t="str">
        <f t="shared" si="77"/>
        <v>viro</v>
      </c>
      <c r="F868" t="str">
        <f>"romaanid; põnevus- ja krimikirjandus; proosa"</f>
        <v>romaanid; põnevus- ja krimikirjandus; proosa</v>
      </c>
      <c r="G868" t="str">
        <f>"  täiskasvanud"</f>
        <v xml:space="preserve">  täiskasvanud</v>
      </c>
      <c r="H868" t="str">
        <f t="shared" si="78"/>
        <v>2012</v>
      </c>
      <c r="I868" t="str">
        <f>"Hea vend, halb vend"</f>
        <v>Hea vend, halb vend</v>
      </c>
      <c r="J868" t="str">
        <f>"Aimla-Laid, Triin"</f>
        <v>Aimla-Laid, Triin</v>
      </c>
      <c r="K868" t="str">
        <f>"Pegasus, Tallinn"</f>
        <v>Pegasus, Tallinn</v>
      </c>
      <c r="L868" t="str">
        <f>""</f>
        <v/>
      </c>
      <c r="M868" t="str">
        <f>"978-9949-505-07-4"</f>
        <v>978-9949-505-07-4</v>
      </c>
    </row>
    <row r="869" spans="1:13" ht="15">
      <c r="A869" t="s">
        <v>436</v>
      </c>
      <c r="B869" t="str">
        <f>"12025"</f>
        <v>12025</v>
      </c>
      <c r="C869" t="str">
        <f>"2004"</f>
        <v>2004</v>
      </c>
      <c r="D869" t="str">
        <f>"Runot"</f>
        <v>Runot</v>
      </c>
      <c r="E869" t="str">
        <f t="shared" si="77"/>
        <v>viro</v>
      </c>
      <c r="F869" t="str">
        <f>"luule, lüürika"</f>
        <v>luule, lüürika</v>
      </c>
      <c r="G869" t="str">
        <f>"  täiskasvanud"</f>
        <v xml:space="preserve">  täiskasvanud</v>
      </c>
      <c r="H869" t="str">
        <f t="shared" si="78"/>
        <v>2012</v>
      </c>
      <c r="I869" t="str">
        <f>"Luuletused"</f>
        <v>Luuletused</v>
      </c>
      <c r="J869" t="str">
        <f>"Kitsnik, Lauri, Krull, Hasso, Kruusa, Kalju, Künnap, Asko, Rooste, Jürgen, Sang, Joel, Viiding, Elo"</f>
        <v>Kitsnik, Lauri, Krull, Hasso, Kruusa, Kalju, Künnap, Asko, Rooste, Jürgen, Sang, Joel, Viiding, Elo</v>
      </c>
      <c r="K869" t="str">
        <f>"Tuum, Tallinn"</f>
        <v>Tuum, Tallinn</v>
      </c>
      <c r="L869" t="str">
        <f>""</f>
        <v/>
      </c>
      <c r="M869" t="str">
        <f>"978-9949-9186-6-9"</f>
        <v>978-9949-9186-6-9</v>
      </c>
    </row>
    <row r="870" spans="1:13" ht="15">
      <c r="A870" t="s">
        <v>517</v>
      </c>
      <c r="B870" t="str">
        <f>"12022"</f>
        <v>12022</v>
      </c>
      <c r="C870" t="str">
        <f>"2004"</f>
        <v>2004</v>
      </c>
      <c r="D870" t="str">
        <f>"Tatu ja Patu päiväkodissa"</f>
        <v>Tatu ja Patu päiväkodissa</v>
      </c>
      <c r="E870" t="str">
        <f t="shared" si="77"/>
        <v>viro</v>
      </c>
      <c r="F870" t="str">
        <f>"pildiraamatud"</f>
        <v>pildiraamatud</v>
      </c>
      <c r="G870" t="str">
        <f>" lapsed ja noored"</f>
        <v xml:space="preserve"> lapsed ja noored</v>
      </c>
      <c r="H870" t="str">
        <f t="shared" si="78"/>
        <v>2012</v>
      </c>
      <c r="I870" t="str">
        <f>"Teedu ja Peedu lasteaias"</f>
        <v>Teedu ja Peedu lasteaias</v>
      </c>
      <c r="J870" t="str">
        <f>"Lagerspetz, Hille"</f>
        <v>Lagerspetz, Hille</v>
      </c>
      <c r="K870" t="str">
        <f>"Eesti Päevaleht, Tallinn"</f>
        <v>Eesti Päevaleht, Tallinn</v>
      </c>
      <c r="L870" t="str">
        <f>""</f>
        <v/>
      </c>
      <c r="M870" t="str">
        <f>"978-9949-475-47-6"</f>
        <v>978-9949-475-47-6</v>
      </c>
    </row>
    <row r="871" spans="1:13" ht="15">
      <c r="A871" t="s">
        <v>517</v>
      </c>
      <c r="B871" t="str">
        <f>"12105"</f>
        <v>12105</v>
      </c>
      <c r="C871" t="str">
        <f>"2005"</f>
        <v>2005</v>
      </c>
      <c r="D871" t="str">
        <f>"Tatun ja Patun oudot kojeet"</f>
        <v>Tatun ja Patun oudot kojeet</v>
      </c>
      <c r="E871" t="str">
        <f t="shared" si="77"/>
        <v>viro</v>
      </c>
      <c r="F871" t="str">
        <f>"pildiraamatud"</f>
        <v>pildiraamatud</v>
      </c>
      <c r="G871" t="str">
        <f>" lapsed ja noored"</f>
        <v xml:space="preserve"> lapsed ja noored</v>
      </c>
      <c r="H871" t="str">
        <f t="shared" si="78"/>
        <v>2012</v>
      </c>
      <c r="I871" t="str">
        <f>"Teedu ja Peedu imelikud masinad"</f>
        <v>Teedu ja Peedu imelikud masinad</v>
      </c>
      <c r="J871" t="str">
        <f>"Lagerspetz, Hille"</f>
        <v>Lagerspetz, Hille</v>
      </c>
      <c r="K871" t="str">
        <f>"Hea Lugu, Tallinn"</f>
        <v>Hea Lugu, Tallinn</v>
      </c>
      <c r="L871" t="str">
        <f>""</f>
        <v/>
      </c>
      <c r="M871" t="str">
        <f>"978-9949-475-49-0"</f>
        <v>978-9949-475-49-0</v>
      </c>
    </row>
    <row r="872" spans="1:13" ht="15">
      <c r="A872" t="s">
        <v>542</v>
      </c>
      <c r="B872" t="str">
        <f>"14925"</f>
        <v>14925</v>
      </c>
      <c r="C872" t="str">
        <f>"1994"</f>
        <v>1994</v>
      </c>
      <c r="D872" t="str">
        <f>"Kilpikonna ja olkimarsalkka"</f>
        <v>Kilpikonna ja olkimarsalkka</v>
      </c>
      <c r="E872" t="str">
        <f t="shared" si="77"/>
        <v>viro</v>
      </c>
      <c r="F872" t="str">
        <f>""</f>
        <v/>
      </c>
      <c r="G872" t="str">
        <f>"  täiskasvanud"</f>
        <v xml:space="preserve">  täiskasvanud</v>
      </c>
      <c r="H872" t="str">
        <f t="shared" si="78"/>
        <v>2012</v>
      </c>
      <c r="I872" t="str">
        <f>"Kilpkonn ja õlgmarssal"</f>
        <v>Kilpkonn ja õlgmarssal</v>
      </c>
      <c r="J872" t="str">
        <f>"Saluri, Piret, Sang, Joel"</f>
        <v>Saluri, Piret, Sang, Joel</v>
      </c>
      <c r="K872" t="str">
        <f>"Eesti Keele Sihtasutus, Tallinn"</f>
        <v>Eesti Keele Sihtasutus, Tallinn</v>
      </c>
      <c r="L872" t="str">
        <f>"2. p."</f>
        <v>2. p.</v>
      </c>
      <c r="M872" t="str">
        <f>"9789985794944"</f>
        <v>9789985794944</v>
      </c>
    </row>
    <row r="873" spans="1:13" ht="15">
      <c r="A873" t="s">
        <v>560</v>
      </c>
      <c r="B873" t="str">
        <f>"12457"</f>
        <v>12457</v>
      </c>
      <c r="C873" t="str">
        <f>"2006"</f>
        <v>2006</v>
      </c>
      <c r="D873" t="str">
        <f>"Nokimusta seikkailu : salapoliisiromaani"</f>
        <v>Nokimusta seikkailu : salapoliisiromaani</v>
      </c>
      <c r="E873" t="str">
        <f t="shared" si="77"/>
        <v>viro</v>
      </c>
      <c r="F873" t="str">
        <f>"romaanid; põnevus- ja krimikirjandus; proosa"</f>
        <v>romaanid; põnevus- ja krimikirjandus; proosa</v>
      </c>
      <c r="G873" t="str">
        <f>"  täiskasvanud"</f>
        <v xml:space="preserve">  täiskasvanud</v>
      </c>
      <c r="H873" t="str">
        <f t="shared" si="78"/>
        <v>2012</v>
      </c>
      <c r="I873" t="str">
        <f>"Pigimust seiklus"</f>
        <v>Pigimust seiklus</v>
      </c>
      <c r="J873" t="str">
        <f>"Mõisnik, Mihkel"</f>
        <v>Mõisnik, Mihkel</v>
      </c>
      <c r="K873" t="str">
        <f>"Hotger, Tallinn"</f>
        <v>Hotger, Tallinn</v>
      </c>
      <c r="L873" t="str">
        <f>""</f>
        <v/>
      </c>
      <c r="M873" t="str">
        <f>"978-9949-457-14-4"</f>
        <v>978-9949-457-14-4</v>
      </c>
    </row>
    <row r="874" spans="2:13" ht="15">
      <c r="B874" t="str">
        <f>"13286"</f>
        <v>13286</v>
      </c>
      <c r="C874" t="str">
        <f>""</f>
        <v/>
      </c>
      <c r="D874" t="str">
        <f>""</f>
        <v/>
      </c>
      <c r="E874" t="str">
        <f t="shared" si="77"/>
        <v>viro</v>
      </c>
      <c r="F874" t="str">
        <f>"luule, lüürika"</f>
        <v>luule, lüürika</v>
      </c>
      <c r="G874" t="str">
        <f>"  täiskasvanud"</f>
        <v xml:space="preserve">  täiskasvanud</v>
      </c>
      <c r="H874" t="str">
        <f aca="true" t="shared" si="79" ref="H874:H912">"2013"</f>
        <v>2013</v>
      </c>
      <c r="I874" t="str">
        <f>"8 + 8"</f>
        <v>8 + 8</v>
      </c>
      <c r="J874" t="str">
        <f>""</f>
        <v/>
      </c>
      <c r="K874" t="str">
        <f>"NyNorden, Tallinn"</f>
        <v>NyNorden, Tallinn</v>
      </c>
      <c r="L874" t="str">
        <f>""</f>
        <v/>
      </c>
      <c r="M874" t="str">
        <f>"978-9949-9409-3-6"</f>
        <v>978-9949-9409-3-6</v>
      </c>
    </row>
    <row r="875" spans="2:13" ht="15">
      <c r="B875" t="str">
        <f>"12496"</f>
        <v>12496</v>
      </c>
      <c r="C875" t="str">
        <f>"2009"</f>
        <v>2009</v>
      </c>
      <c r="D875" t="str">
        <f>"Ratakatu 12 : Suojelupoliisi 1949-2009"</f>
        <v>Ratakatu 12 : Suojelupoliisi 1949-2009</v>
      </c>
      <c r="E875" t="str">
        <f t="shared" si="77"/>
        <v>viro</v>
      </c>
      <c r="F875" t="str">
        <f>""</f>
        <v/>
      </c>
      <c r="G875" t="str">
        <f>"  täiskasvanud"</f>
        <v xml:space="preserve">  täiskasvanud</v>
      </c>
      <c r="H875" t="str">
        <f t="shared" si="79"/>
        <v>2013</v>
      </c>
      <c r="I875" t="str">
        <f>"Soome kaitsepolitsei ajalugu"</f>
        <v>Soome kaitsepolitsei ajalugu</v>
      </c>
      <c r="J875" t="str">
        <f>"Jaanits, Kadri"</f>
        <v>Jaanits, Kadri</v>
      </c>
      <c r="K875" t="str">
        <f>"Eesti Ekspress Raamat, Tallinn"</f>
        <v>Eesti Ekspress Raamat, Tallinn</v>
      </c>
      <c r="L875" t="str">
        <f>""</f>
        <v/>
      </c>
      <c r="M875" t="str">
        <f>"978-9949-489-64-0"</f>
        <v>978-9949-489-64-0</v>
      </c>
    </row>
    <row r="876" spans="1:13" ht="15">
      <c r="A876" t="s">
        <v>5</v>
      </c>
      <c r="B876" t="str">
        <f>"14922"</f>
        <v>14922</v>
      </c>
      <c r="C876" t="str">
        <f>"1954"</f>
        <v>1954</v>
      </c>
      <c r="D876" t="str">
        <f>"Vinski ja Vinsentti (1956) ; Koko kaupungin Vinski (1954)"</f>
        <v>Vinski ja Vinsentti (1956) ; Koko kaupungin Vinski (1954)</v>
      </c>
      <c r="E876" t="str">
        <f t="shared" si="77"/>
        <v>viro</v>
      </c>
      <c r="F876" t="str">
        <f>"romaanid; proosa"</f>
        <v>romaanid; proosa</v>
      </c>
      <c r="G876" t="str">
        <f>" lapsed ja noored"</f>
        <v xml:space="preserve"> lapsed ja noored</v>
      </c>
      <c r="H876" t="str">
        <f t="shared" si="79"/>
        <v>2013</v>
      </c>
      <c r="I876" t="str">
        <f>"Vinski lood"</f>
        <v>Vinski lood</v>
      </c>
      <c r="J876" t="str">
        <f>"Künnap, Välja"</f>
        <v>Künnap, Välja</v>
      </c>
      <c r="K876" t="str">
        <f>"Tänapäev, Tallinn"</f>
        <v>Tänapäev, Tallinn</v>
      </c>
      <c r="L876" t="str">
        <f>"2. p."</f>
        <v>2. p.</v>
      </c>
      <c r="M876" t="str">
        <f>"9789949274031"</f>
        <v>9789949274031</v>
      </c>
    </row>
    <row r="877" spans="1:13" ht="15">
      <c r="A877" t="s">
        <v>12</v>
      </c>
      <c r="B877" t="str">
        <f>"12377"</f>
        <v>12377</v>
      </c>
      <c r="C877" t="str">
        <f>"2012"</f>
        <v>2012</v>
      </c>
      <c r="D877" t="str">
        <f>"Maihinnousu"</f>
        <v>Maihinnousu</v>
      </c>
      <c r="E877" t="str">
        <f t="shared" si="77"/>
        <v>viro</v>
      </c>
      <c r="F877" t="str">
        <f>"romaanid; proosa"</f>
        <v>romaanid; proosa</v>
      </c>
      <c r="G877" t="str">
        <f>"  täiskasvanud"</f>
        <v xml:space="preserve">  täiskasvanud</v>
      </c>
      <c r="H877" t="str">
        <f t="shared" si="79"/>
        <v>2013</v>
      </c>
      <c r="I877" t="str">
        <f>"Dessant"</f>
        <v>Dessant</v>
      </c>
      <c r="J877" t="str">
        <f>"Kaldmaa, Kätlin"</f>
        <v>Kaldmaa, Kätlin</v>
      </c>
      <c r="K877" t="str">
        <f>"Hea Lugu, Tallinn"</f>
        <v>Hea Lugu, Tallinn</v>
      </c>
      <c r="L877" t="str">
        <f>""</f>
        <v/>
      </c>
      <c r="M877" t="str">
        <f>"978-9949-489-74-9"</f>
        <v>978-9949-489-74-9</v>
      </c>
    </row>
    <row r="878" spans="1:13" ht="15">
      <c r="A878" t="s">
        <v>42</v>
      </c>
      <c r="B878" t="str">
        <f>"12535"</f>
        <v>12535</v>
      </c>
      <c r="C878" t="str">
        <f>""</f>
        <v/>
      </c>
      <c r="D878" t="str">
        <f>"Fältmarskalken friherre Mannerheim (1934) ; Anteckningar om Mannerheim (2011)"</f>
        <v>Fältmarskalken friherre Mannerheim (1934) ; Anteckningar om Mannerheim (2011)</v>
      </c>
      <c r="E878" t="str">
        <f t="shared" si="77"/>
        <v>viro</v>
      </c>
      <c r="F878" t="str">
        <f>""</f>
        <v/>
      </c>
      <c r="G878" t="str">
        <f>"  täiskasvanud"</f>
        <v xml:space="preserve">  täiskasvanud</v>
      </c>
      <c r="H878" t="str">
        <f t="shared" si="79"/>
        <v>2013</v>
      </c>
      <c r="I878" t="str">
        <f>"Kaks vaadet marssal Mannerheimile"</f>
        <v>Kaks vaadet marssal Mannerheimile</v>
      </c>
      <c r="J878" t="str">
        <f>"Arnover, Tõnis"</f>
        <v>Arnover, Tõnis</v>
      </c>
      <c r="K878" t="str">
        <f>"Aade, Viimsi"</f>
        <v>Aade, Viimsi</v>
      </c>
      <c r="L878" t="str">
        <f>""</f>
        <v/>
      </c>
      <c r="M878" t="str">
        <f>"978-9949-9255-3-7"</f>
        <v>978-9949-9255-3-7</v>
      </c>
    </row>
    <row r="879" spans="1:13" ht="15">
      <c r="A879" t="s">
        <v>43</v>
      </c>
      <c r="B879" t="str">
        <f>"12535"</f>
        <v>12535</v>
      </c>
      <c r="C879" t="str">
        <f>""</f>
        <v/>
      </c>
      <c r="D879" t="str">
        <f>"Fältmarskalken friherre Mannerheim (1934) ; Anteckningar om Mannerheim (2011)"</f>
        <v>Fältmarskalken friherre Mannerheim (1934) ; Anteckningar om Mannerheim (2011)</v>
      </c>
      <c r="E879" t="str">
        <f t="shared" si="77"/>
        <v>viro</v>
      </c>
      <c r="F879" t="str">
        <f>""</f>
        <v/>
      </c>
      <c r="G879" t="str">
        <f>"  täiskasvanud"</f>
        <v xml:space="preserve">  täiskasvanud</v>
      </c>
      <c r="H879" t="str">
        <f t="shared" si="79"/>
        <v>2013</v>
      </c>
      <c r="I879" t="str">
        <f>"Kaks vaadet marssal Mannerheimile"</f>
        <v>Kaks vaadet marssal Mannerheimile</v>
      </c>
      <c r="J879" t="str">
        <f>"Arnover, Tõnis"</f>
        <v>Arnover, Tõnis</v>
      </c>
      <c r="K879" t="str">
        <f>"Aade, Viimsi"</f>
        <v>Aade, Viimsi</v>
      </c>
      <c r="L879" t="str">
        <f>""</f>
        <v/>
      </c>
      <c r="M879" t="str">
        <f>"978-9949-9255-3-7"</f>
        <v>978-9949-9255-3-7</v>
      </c>
    </row>
    <row r="880" spans="1:13" ht="15">
      <c r="A880" t="s">
        <v>47</v>
      </c>
      <c r="B880" t="str">
        <f>"13686"</f>
        <v>13686</v>
      </c>
      <c r="C880" t="str">
        <f>"2012"</f>
        <v>2012</v>
      </c>
      <c r="D880" t="str">
        <f>"Mekkotehdas"</f>
        <v>Mekkotehdas</v>
      </c>
      <c r="E880" t="str">
        <f t="shared" si="77"/>
        <v>viro</v>
      </c>
      <c r="F880" t="str">
        <f>""</f>
        <v/>
      </c>
      <c r="G880" t="str">
        <f>"  täiskasvanud"</f>
        <v xml:space="preserve">  täiskasvanud</v>
      </c>
      <c r="H880" t="str">
        <f t="shared" si="79"/>
        <v>2013</v>
      </c>
      <c r="I880" t="str">
        <f>"Kleidivabrik"</f>
        <v>Kleidivabrik</v>
      </c>
      <c r="J880" t="str">
        <f>"Toomet, Tiina"</f>
        <v>Toomet, Tiina</v>
      </c>
      <c r="K880" t="str">
        <f>"Maalehe raamat, Tallinn"</f>
        <v>Maalehe raamat, Tallinn</v>
      </c>
      <c r="L880" t="str">
        <f>""</f>
        <v/>
      </c>
      <c r="M880" t="str">
        <f>"978-9985-64-485-0"</f>
        <v>978-9985-64-485-0</v>
      </c>
    </row>
    <row r="881" spans="1:13" ht="15">
      <c r="A881" t="s">
        <v>53</v>
      </c>
      <c r="B881" t="str">
        <f>"12250"</f>
        <v>12250</v>
      </c>
      <c r="C881" t="str">
        <f>"2003"</f>
        <v>2003</v>
      </c>
      <c r="D881" t="str">
        <f>"Elena"</f>
        <v>Elena</v>
      </c>
      <c r="E881" t="str">
        <f t="shared" si="77"/>
        <v>viro</v>
      </c>
      <c r="F881" t="str">
        <f>"romaanid; proosa"</f>
        <v>romaanid; proosa</v>
      </c>
      <c r="G881" t="str">
        <f>"  täiskasvanud"</f>
        <v xml:space="preserve">  täiskasvanud</v>
      </c>
      <c r="H881" t="str">
        <f t="shared" si="79"/>
        <v>2013</v>
      </c>
      <c r="I881" t="str">
        <f>"Elena"</f>
        <v>Elena</v>
      </c>
      <c r="J881" t="str">
        <f>"Lagerspetz, Hille"</f>
        <v>Lagerspetz, Hille</v>
      </c>
      <c r="K881" t="str">
        <f>"Eesti Ekspress Raamat, Tallinn"</f>
        <v>Eesti Ekspress Raamat, Tallinn</v>
      </c>
      <c r="L881" t="str">
        <f>""</f>
        <v/>
      </c>
      <c r="M881" t="str">
        <f>"978-9949-489-59-6"</f>
        <v>978-9949-489-59-6</v>
      </c>
    </row>
    <row r="882" spans="1:13" ht="15">
      <c r="A882" t="s">
        <v>68</v>
      </c>
      <c r="B882" t="str">
        <f>"12192"</f>
        <v>12192</v>
      </c>
      <c r="C882" t="str">
        <f>"2008"</f>
        <v>2008</v>
      </c>
      <c r="D882" t="str">
        <f>"Tatun ja Patun outo unikirja"</f>
        <v>Tatun ja Patun outo unikirja</v>
      </c>
      <c r="E882" t="str">
        <f t="shared" si="77"/>
        <v>viro</v>
      </c>
      <c r="F882" t="str">
        <f>"pildiraamatud"</f>
        <v>pildiraamatud</v>
      </c>
      <c r="G882" t="str">
        <f>" lapsed ja noored"</f>
        <v xml:space="preserve"> lapsed ja noored</v>
      </c>
      <c r="H882" t="str">
        <f t="shared" si="79"/>
        <v>2013</v>
      </c>
      <c r="I882" t="str">
        <f>"Teedu ja Peedu imelik uneraamat"</f>
        <v>Teedu ja Peedu imelik uneraamat</v>
      </c>
      <c r="J882" t="str">
        <f>"Lagerspetz, Hille"</f>
        <v>Lagerspetz, Hille</v>
      </c>
      <c r="K882" t="str">
        <f>"Hea Lugu, Tallinn"</f>
        <v>Hea Lugu, Tallinn</v>
      </c>
      <c r="L882" t="str">
        <f>""</f>
        <v/>
      </c>
      <c r="M882" t="str">
        <f>"978-9949-475-50-6"</f>
        <v>978-9949-475-50-6</v>
      </c>
    </row>
    <row r="883" spans="1:13" ht="15">
      <c r="A883" t="s">
        <v>76</v>
      </c>
      <c r="B883" t="str">
        <f>"12319"</f>
        <v>12319</v>
      </c>
      <c r="C883" t="str">
        <f>"2011"</f>
        <v>2011</v>
      </c>
      <c r="D883" t="str">
        <f>"Minä, Katariina : romaani"</f>
        <v>Minä, Katariina : romaani</v>
      </c>
      <c r="E883" t="str">
        <f t="shared" si="77"/>
        <v>viro</v>
      </c>
      <c r="F883" t="str">
        <f>"romaanid; proosa"</f>
        <v>romaanid; proosa</v>
      </c>
      <c r="G883" t="str">
        <f>"  täiskasvanud"</f>
        <v xml:space="preserve">  täiskasvanud</v>
      </c>
      <c r="H883" t="str">
        <f t="shared" si="79"/>
        <v>2013</v>
      </c>
      <c r="I883" t="str">
        <f>"Mina, Katariina"</f>
        <v>Mina, Katariina</v>
      </c>
      <c r="J883" t="str">
        <f>"Berg, Maimu"</f>
        <v>Berg, Maimu</v>
      </c>
      <c r="K883" t="str">
        <f>"Varrak, Tallinn"</f>
        <v>Varrak, Tallinn</v>
      </c>
      <c r="L883" t="str">
        <f>""</f>
        <v/>
      </c>
      <c r="M883" t="str">
        <f>"978-9985-3-2748-7"</f>
        <v>978-9985-3-2748-7</v>
      </c>
    </row>
    <row r="884" spans="1:13" ht="15">
      <c r="A884" t="s">
        <v>111</v>
      </c>
      <c r="B884" t="str">
        <f>"12335"</f>
        <v>12335</v>
      </c>
      <c r="C884" t="str">
        <f>""</f>
        <v/>
      </c>
      <c r="D884" t="str">
        <f>"Kaupunkiretki : lastenrunoja (2011) ; Leikkihaitari : valitut lastenrunot 1986-2010 (2011) ; Sanamaa : lastenrunoja (2012)"</f>
        <v>Kaupunkiretki : lastenrunoja (2011) ; Leikkihaitari : valitut lastenrunot 1986-2010 (2011) ; Sanamaa : lastenrunoja (2012)</v>
      </c>
      <c r="E884" t="str">
        <f t="shared" si="77"/>
        <v>viro</v>
      </c>
      <c r="F884" t="str">
        <f>"luule, lüürika"</f>
        <v>luule, lüürika</v>
      </c>
      <c r="G884" t="str">
        <f>" lapsed ja noored"</f>
        <v xml:space="preserve"> lapsed ja noored</v>
      </c>
      <c r="H884" t="str">
        <f t="shared" si="79"/>
        <v>2013</v>
      </c>
      <c r="I884" t="str">
        <f>"Mõnus sajuilm"</f>
        <v>Mõnus sajuilm</v>
      </c>
      <c r="J884" t="str">
        <f>"Tungal, Leelo"</f>
        <v>Tungal, Leelo</v>
      </c>
      <c r="K884" t="str">
        <f>"Tammerraamat, Tallinn"</f>
        <v>Tammerraamat, Tallinn</v>
      </c>
      <c r="L884" t="str">
        <f>""</f>
        <v/>
      </c>
      <c r="M884" t="str">
        <f>"978-9949-482-91-7"</f>
        <v>978-9949-482-91-7</v>
      </c>
    </row>
    <row r="885" spans="1:13" ht="15">
      <c r="A885" t="s">
        <v>164</v>
      </c>
      <c r="B885" t="str">
        <f>"12183"</f>
        <v>12183</v>
      </c>
      <c r="C885" t="str">
        <f>"2011"</f>
        <v>2011</v>
      </c>
      <c r="D885" t="str">
        <f>"Paluu vankileirien teille : Suomesta Neuvostoliittoon luovutettujen kohtalo 1940-1955"</f>
        <v>Paluu vankileirien teille : Suomesta Neuvostoliittoon luovutettujen kohtalo 1940-1955</v>
      </c>
      <c r="E885" t="str">
        <f t="shared" si="77"/>
        <v>viro</v>
      </c>
      <c r="F885" t="str">
        <f>""</f>
        <v/>
      </c>
      <c r="G885" t="str">
        <f>"  täiskasvanud"</f>
        <v xml:space="preserve">  täiskasvanud</v>
      </c>
      <c r="H885" t="str">
        <f t="shared" si="79"/>
        <v>2013</v>
      </c>
      <c r="I885" t="str">
        <f>"Vangilaagrite teedel"</f>
        <v>Vangilaagrite teedel</v>
      </c>
      <c r="J885" t="str">
        <f>"Jaanits, Kadri"</f>
        <v>Jaanits, Kadri</v>
      </c>
      <c r="K885" t="str">
        <f>"Tänapäev, Tallinn"</f>
        <v>Tänapäev, Tallinn</v>
      </c>
      <c r="L885" t="str">
        <f>""</f>
        <v/>
      </c>
      <c r="M885" t="str">
        <f>"978-9949-27-313-3"</f>
        <v>978-9949-27-313-3</v>
      </c>
    </row>
    <row r="886" spans="1:13" ht="15">
      <c r="A886" t="s">
        <v>201</v>
      </c>
      <c r="B886" t="str">
        <f>"12509"</f>
        <v>12509</v>
      </c>
      <c r="C886" t="str">
        <f>"2011"</f>
        <v>2011</v>
      </c>
      <c r="D886" t="str">
        <f>"Me Rosvolat ja konnakaraoke"</f>
        <v>Me Rosvolat ja konnakaraoke</v>
      </c>
      <c r="E886" t="str">
        <f t="shared" si="77"/>
        <v>viro</v>
      </c>
      <c r="F886" t="str">
        <f>"romaanid; proosa"</f>
        <v>romaanid; proosa</v>
      </c>
      <c r="G886" t="str">
        <f>" lapsed ja noored"</f>
        <v xml:space="preserve"> lapsed ja noored</v>
      </c>
      <c r="H886" t="str">
        <f t="shared" si="79"/>
        <v>2013</v>
      </c>
      <c r="I886" t="str">
        <f>"Meie, Rööbelid, ja pätikaraoke"</f>
        <v>Meie, Rööbelid, ja pätikaraoke</v>
      </c>
      <c r="J886" t="str">
        <f>"Kaldmaa, Kätlin"</f>
        <v>Kaldmaa, Kätlin</v>
      </c>
      <c r="K886" t="str">
        <f>"Ajakirjade Kirjastus, Tallinn"</f>
        <v>Ajakirjade Kirjastus, Tallinn</v>
      </c>
      <c r="L886" t="str">
        <f>""</f>
        <v/>
      </c>
      <c r="M886" t="str">
        <f>"978-9949-502-98-1"</f>
        <v>978-9949-502-98-1</v>
      </c>
    </row>
    <row r="887" spans="1:13" ht="15">
      <c r="A887" t="s">
        <v>210</v>
      </c>
      <c r="B887" t="str">
        <f>"12405"</f>
        <v>12405</v>
      </c>
      <c r="C887" t="str">
        <f>"2012"</f>
        <v>2012</v>
      </c>
      <c r="D887" t="str">
        <f>"Suljetut vaunut, eli Kadonnutta aikaa etsimässä"</f>
        <v>Suljetut vaunut, eli Kadonnutta aikaa etsimässä</v>
      </c>
      <c r="E887" t="str">
        <f t="shared" si="77"/>
        <v>viro</v>
      </c>
      <c r="F887" t="str">
        <f>""</f>
        <v/>
      </c>
      <c r="G887" t="str">
        <f>"  täiskasvanud"</f>
        <v xml:space="preserve">  täiskasvanud</v>
      </c>
      <c r="H887" t="str">
        <f t="shared" si="79"/>
        <v>2013</v>
      </c>
      <c r="I887" t="str">
        <f>"Kinnises tõllas : ehk kadunud aega otsimas"</f>
        <v>Kinnises tõllas : ehk kadunud aega otsimas</v>
      </c>
      <c r="J887" t="str">
        <f>"Paikre, Ants"</f>
        <v>Paikre, Ants</v>
      </c>
      <c r="K887" t="str">
        <f>"Atlex, Tartu"</f>
        <v>Atlex, Tartu</v>
      </c>
      <c r="L887" t="str">
        <f>""</f>
        <v/>
      </c>
      <c r="M887" t="str">
        <f>"978-9949-492-25-1"</f>
        <v>978-9949-492-25-1</v>
      </c>
    </row>
    <row r="888" spans="1:13" ht="15">
      <c r="A888" t="s">
        <v>211</v>
      </c>
      <c r="B888" t="str">
        <f>"15157"</f>
        <v>15157</v>
      </c>
      <c r="C888" t="str">
        <f>"2008"</f>
        <v>2008</v>
      </c>
      <c r="D888" t="str">
        <f>"Isän henkselit"</f>
        <v>Isän henkselit</v>
      </c>
      <c r="E888" t="str">
        <f t="shared" si="77"/>
        <v>viro</v>
      </c>
      <c r="F888" t="str">
        <f>"romaanid; proosa"</f>
        <v>romaanid; proosa</v>
      </c>
      <c r="G888" t="str">
        <f>"  täiskasvanud"</f>
        <v xml:space="preserve">  täiskasvanud</v>
      </c>
      <c r="H888" t="str">
        <f t="shared" si="79"/>
        <v>2013</v>
      </c>
      <c r="I888" t="str">
        <f>"Isa traksid"</f>
        <v>Isa traksid</v>
      </c>
      <c r="J888" t="str">
        <f>"Ringeveld, Katrin"</f>
        <v>Ringeveld, Katrin</v>
      </c>
      <c r="K888" t="str">
        <f>"K. Kosunen, Haapsalu"</f>
        <v>K. Kosunen, Haapsalu</v>
      </c>
      <c r="L888" t="str">
        <f>""</f>
        <v/>
      </c>
      <c r="M888" t="str">
        <f>"978-9949-33-261-8"</f>
        <v>978-9949-33-261-8</v>
      </c>
    </row>
    <row r="889" spans="1:13" ht="15">
      <c r="A889" t="s">
        <v>214</v>
      </c>
      <c r="B889" t="str">
        <f>"12269"</f>
        <v>12269</v>
      </c>
      <c r="C889" t="str">
        <f>"2012"</f>
        <v>2012</v>
      </c>
      <c r="D889" t="str">
        <f>"Puhelias Elias"</f>
        <v>Puhelias Elias</v>
      </c>
      <c r="E889" t="str">
        <f t="shared" si="77"/>
        <v>viro</v>
      </c>
      <c r="F889" t="str">
        <f>"pildiraamatud"</f>
        <v>pildiraamatud</v>
      </c>
      <c r="G889" t="str">
        <f>" lapsed ja noored"</f>
        <v xml:space="preserve"> lapsed ja noored</v>
      </c>
      <c r="H889" t="str">
        <f t="shared" si="79"/>
        <v>2013</v>
      </c>
      <c r="I889" t="str">
        <f>"Jutukas Elias"</f>
        <v>Jutukas Elias</v>
      </c>
      <c r="J889" t="str">
        <f>"Maasik, Ingrid"</f>
        <v>Maasik, Ingrid</v>
      </c>
      <c r="K889" t="str">
        <f>"Fiore, Tallinn"</f>
        <v>Fiore, Tallinn</v>
      </c>
      <c r="L889" t="str">
        <f>""</f>
        <v/>
      </c>
      <c r="M889" t="str">
        <f>"978-9949-33-018-8"</f>
        <v>978-9949-33-018-8</v>
      </c>
    </row>
    <row r="890" spans="1:13" ht="15">
      <c r="A890" t="s">
        <v>217</v>
      </c>
      <c r="B890" t="str">
        <f>"12409"</f>
        <v>12409</v>
      </c>
      <c r="C890" t="str">
        <f>"2012"</f>
        <v>2012</v>
      </c>
      <c r="D890" t="str">
        <f>"Aarresaari : kunnasmainen tulkinta Robert Louis Stevensonin klassikosta"</f>
        <v>Aarresaari : kunnasmainen tulkinta Robert Louis Stevensonin klassikosta</v>
      </c>
      <c r="E890" t="str">
        <f t="shared" si="77"/>
        <v>viro</v>
      </c>
      <c r="F890" t="str">
        <f>"pildiraamatud; proosa"</f>
        <v>pildiraamatud; proosa</v>
      </c>
      <c r="G890" t="str">
        <f>" lapsed ja noored"</f>
        <v xml:space="preserve"> lapsed ja noored</v>
      </c>
      <c r="H890" t="str">
        <f t="shared" si="79"/>
        <v>2013</v>
      </c>
      <c r="I890" t="str">
        <f>"Aarete saar"</f>
        <v>Aarete saar</v>
      </c>
      <c r="J890" t="str">
        <f>"Ellermaa, Einar"</f>
        <v>Ellermaa, Einar</v>
      </c>
      <c r="K890" t="str">
        <f>"Ajakirjade Kirjastus, Tallinn"</f>
        <v>Ajakirjade Kirjastus, Tallinn</v>
      </c>
      <c r="L890" t="str">
        <f>""</f>
        <v/>
      </c>
      <c r="M890" t="str">
        <f>"978-9949-502-85-1"</f>
        <v>978-9949-502-85-1</v>
      </c>
    </row>
    <row r="891" spans="1:13" ht="15">
      <c r="A891" t="s">
        <v>217</v>
      </c>
      <c r="B891" t="str">
        <f>"12379"</f>
        <v>12379</v>
      </c>
      <c r="C891" t="str">
        <f>"2011"</f>
        <v>2011</v>
      </c>
      <c r="D891" t="str">
        <f>"Joulutarinat"</f>
        <v>Joulutarinat</v>
      </c>
      <c r="E891" t="str">
        <f t="shared" si="77"/>
        <v>viro</v>
      </c>
      <c r="F891" t="str">
        <f>"pildiraamatud"</f>
        <v>pildiraamatud</v>
      </c>
      <c r="G891" t="str">
        <f>" lapsed ja noored"</f>
        <v xml:space="preserve"> lapsed ja noored</v>
      </c>
      <c r="H891" t="str">
        <f t="shared" si="79"/>
        <v>2013</v>
      </c>
      <c r="I891" t="str">
        <f>"Jõulujutud"</f>
        <v>Jõulujutud</v>
      </c>
      <c r="J891" t="str">
        <f>"Ende, Üllar, Jürima, Maire"</f>
        <v>Ende, Üllar, Jürima, Maire</v>
      </c>
      <c r="K891" t="str">
        <f>"Sinisukk, Tallinn"</f>
        <v>Sinisukk, Tallinn</v>
      </c>
      <c r="L891" t="str">
        <f>""</f>
        <v/>
      </c>
      <c r="M891" t="str">
        <f>"978-9949-34-074-3"</f>
        <v>978-9949-34-074-3</v>
      </c>
    </row>
    <row r="892" spans="1:13" ht="15">
      <c r="A892" t="s">
        <v>217</v>
      </c>
      <c r="B892" t="str">
        <f>"12545"</f>
        <v>12545</v>
      </c>
      <c r="C892" t="str">
        <f>"2011"</f>
        <v>2011</v>
      </c>
      <c r="D892" t="str">
        <f>"Kummallisuuksien käsikirja"</f>
        <v>Kummallisuuksien käsikirja</v>
      </c>
      <c r="E892" t="str">
        <f t="shared" si="77"/>
        <v>viro</v>
      </c>
      <c r="F892" t="str">
        <f>"pildiraamatud"</f>
        <v>pildiraamatud</v>
      </c>
      <c r="G892" t="str">
        <f>" lapsed ja noored"</f>
        <v xml:space="preserve"> lapsed ja noored</v>
      </c>
      <c r="H892" t="str">
        <f t="shared" si="79"/>
        <v>2013</v>
      </c>
      <c r="I892" t="str">
        <f>"Salapärasuste käsiraamat"</f>
        <v>Salapärasuste käsiraamat</v>
      </c>
      <c r="J892" t="str">
        <f>"Uustalu, Kadi"</f>
        <v>Uustalu, Kadi</v>
      </c>
      <c r="K892" t="str">
        <f>"Ajakirjade Kirjastus, Tallinn"</f>
        <v>Ajakirjade Kirjastus, Tallinn</v>
      </c>
      <c r="L892" t="str">
        <f>""</f>
        <v/>
      </c>
      <c r="M892" t="str">
        <f>"978-9949-502-95-0"</f>
        <v>978-9949-502-95-0</v>
      </c>
    </row>
    <row r="893" spans="1:13" ht="15">
      <c r="A893" t="s">
        <v>219</v>
      </c>
      <c r="B893" t="str">
        <f>"12409"</f>
        <v>12409</v>
      </c>
      <c r="C893" t="str">
        <f>"2012"</f>
        <v>2012</v>
      </c>
      <c r="D893" t="str">
        <f>"Aarresaari : kunnasmainen tulkinta Robert Louis Stevensonin klassikosta"</f>
        <v>Aarresaari : kunnasmainen tulkinta Robert Louis Stevensonin klassikosta</v>
      </c>
      <c r="E893" t="str">
        <f t="shared" si="77"/>
        <v>viro</v>
      </c>
      <c r="F893" t="str">
        <f>"pildiraamatud; proosa"</f>
        <v>pildiraamatud; proosa</v>
      </c>
      <c r="G893" t="str">
        <f>" lapsed ja noored"</f>
        <v xml:space="preserve"> lapsed ja noored</v>
      </c>
      <c r="H893" t="str">
        <f t="shared" si="79"/>
        <v>2013</v>
      </c>
      <c r="I893" t="str">
        <f>"Aarete saar"</f>
        <v>Aarete saar</v>
      </c>
      <c r="J893" t="str">
        <f>"Ellermaa, Einar"</f>
        <v>Ellermaa, Einar</v>
      </c>
      <c r="K893" t="str">
        <f>"Ajakirjade Kirjastus, Tallinn"</f>
        <v>Ajakirjade Kirjastus, Tallinn</v>
      </c>
      <c r="L893" t="str">
        <f>""</f>
        <v/>
      </c>
      <c r="M893" t="str">
        <f>"978-9949-502-85-1"</f>
        <v>978-9949-502-85-1</v>
      </c>
    </row>
    <row r="894" spans="1:13" ht="15">
      <c r="A894" t="s">
        <v>219</v>
      </c>
      <c r="B894" t="str">
        <f>"12379"</f>
        <v>12379</v>
      </c>
      <c r="C894" t="str">
        <f>"2011"</f>
        <v>2011</v>
      </c>
      <c r="D894" t="str">
        <f>"Joulutarinat"</f>
        <v>Joulutarinat</v>
      </c>
      <c r="E894" t="str">
        <f t="shared" si="77"/>
        <v>viro</v>
      </c>
      <c r="F894" t="str">
        <f>"pildiraamatud"</f>
        <v>pildiraamatud</v>
      </c>
      <c r="G894" t="str">
        <f>" lapsed ja noored"</f>
        <v xml:space="preserve"> lapsed ja noored</v>
      </c>
      <c r="H894" t="str">
        <f t="shared" si="79"/>
        <v>2013</v>
      </c>
      <c r="I894" t="str">
        <f>"Jõulujutud"</f>
        <v>Jõulujutud</v>
      </c>
      <c r="J894" t="str">
        <f>"Ende, Üllar, Jürima, Maire"</f>
        <v>Ende, Üllar, Jürima, Maire</v>
      </c>
      <c r="K894" t="str">
        <f>"Sinisukk, Tallinn"</f>
        <v>Sinisukk, Tallinn</v>
      </c>
      <c r="L894" t="str">
        <f>""</f>
        <v/>
      </c>
      <c r="M894" t="str">
        <f>"978-9949-34-074-3"</f>
        <v>978-9949-34-074-3</v>
      </c>
    </row>
    <row r="895" spans="1:13" ht="15">
      <c r="A895" t="s">
        <v>264</v>
      </c>
      <c r="B895" t="str">
        <f>"12160"</f>
        <v>12160</v>
      </c>
      <c r="C895" t="str">
        <f>"2003"</f>
        <v>2003</v>
      </c>
      <c r="D895" t="str">
        <f>"Helene : romaani Helene Schjerfbeckin elämästä"</f>
        <v>Helene : romaani Helene Schjerfbeckin elämästä</v>
      </c>
      <c r="E895" t="str">
        <f t="shared" si="77"/>
        <v>viro</v>
      </c>
      <c r="F895" t="str">
        <f>"romaanid; proosa"</f>
        <v>romaanid; proosa</v>
      </c>
      <c r="G895" t="str">
        <f>"  täiskasvanud"</f>
        <v xml:space="preserve">  täiskasvanud</v>
      </c>
      <c r="H895" t="str">
        <f t="shared" si="79"/>
        <v>2013</v>
      </c>
      <c r="I895" t="str">
        <f>"Helene"</f>
        <v>Helene</v>
      </c>
      <c r="J895" t="str">
        <f>"Kokla, Tiiu"</f>
        <v>Kokla, Tiiu</v>
      </c>
      <c r="K895" t="str">
        <f>"NyNorden, Tallinn"</f>
        <v>NyNorden, Tallinn</v>
      </c>
      <c r="L895" t="str">
        <f>""</f>
        <v/>
      </c>
      <c r="M895" t="str">
        <f>"978-9949-9193-9-0"</f>
        <v>978-9949-9193-9-0</v>
      </c>
    </row>
    <row r="896" spans="1:13" ht="15">
      <c r="A896" t="s">
        <v>266</v>
      </c>
      <c r="B896" t="str">
        <f>"12200"</f>
        <v>12200</v>
      </c>
      <c r="C896" t="str">
        <f>"2011"</f>
        <v>2011</v>
      </c>
      <c r="D896" t="str">
        <f>"Hytti nro 6 : kertomus"</f>
        <v>Hytti nro 6 : kertomus</v>
      </c>
      <c r="E896" t="str">
        <f t="shared" si="77"/>
        <v>viro</v>
      </c>
      <c r="F896" t="str">
        <f>"romaanid; proosa"</f>
        <v>romaanid; proosa</v>
      </c>
      <c r="G896" t="str">
        <f>"  täiskasvanud"</f>
        <v xml:space="preserve">  täiskasvanud</v>
      </c>
      <c r="H896" t="str">
        <f t="shared" si="79"/>
        <v>2013</v>
      </c>
      <c r="I896" t="str">
        <f>"Kupee nr 6"</f>
        <v>Kupee nr 6</v>
      </c>
      <c r="J896" t="str">
        <f>"Jaanits, Kadri"</f>
        <v>Jaanits, Kadri</v>
      </c>
      <c r="K896" t="str">
        <f>"Koolibri, Tallinn"</f>
        <v>Koolibri, Tallinn</v>
      </c>
      <c r="L896" t="str">
        <f>""</f>
        <v/>
      </c>
      <c r="M896" t="str">
        <f>"978-9985-0-3078-3"</f>
        <v>978-9985-0-3078-3</v>
      </c>
    </row>
    <row r="897" spans="1:13" ht="15">
      <c r="A897" t="s">
        <v>287</v>
      </c>
      <c r="B897" t="str">
        <f>"12526"</f>
        <v>12526</v>
      </c>
      <c r="C897" t="str">
        <f>"1993"</f>
        <v>1993</v>
      </c>
      <c r="D897" t="str">
        <f>"Sibirien : ett självporträtt med vingar"</f>
        <v>Sibirien : ett självporträtt med vingar</v>
      </c>
      <c r="E897" t="str">
        <f t="shared" si="77"/>
        <v>viro</v>
      </c>
      <c r="F897" t="str">
        <f>""</f>
        <v/>
      </c>
      <c r="G897" t="str">
        <f>"  täiskasvanud"</f>
        <v xml:space="preserve">  täiskasvanud</v>
      </c>
      <c r="H897" t="str">
        <f t="shared" si="79"/>
        <v>2013</v>
      </c>
      <c r="I897" t="str">
        <f>"Siber"</f>
        <v>Siber</v>
      </c>
      <c r="J897" t="str">
        <f>"Saluäär, Anu"</f>
        <v>Saluäär, Anu</v>
      </c>
      <c r="K897" t="str">
        <f>"Loomingu raamatukogu, Tallinn"</f>
        <v>Loomingu raamatukogu, Tallinn</v>
      </c>
      <c r="L897" t="str">
        <f>""</f>
        <v/>
      </c>
      <c r="M897" t="str">
        <f>"978-9949-514-42-7"</f>
        <v>978-9949-514-42-7</v>
      </c>
    </row>
    <row r="898" spans="1:13" ht="15">
      <c r="A898" t="s">
        <v>335</v>
      </c>
      <c r="B898" t="str">
        <f>"12159"</f>
        <v>12159</v>
      </c>
      <c r="C898" t="str">
        <f>"2007"</f>
        <v>2007</v>
      </c>
      <c r="D898" t="str">
        <f>"Vadelmavenepakolainen"</f>
        <v>Vadelmavenepakolainen</v>
      </c>
      <c r="E898" t="str">
        <f t="shared" si="77"/>
        <v>viro</v>
      </c>
      <c r="F898" t="str">
        <f>"romaanid; proosa"</f>
        <v>romaanid; proosa</v>
      </c>
      <c r="G898" t="str">
        <f>"  täiskasvanud"</f>
        <v xml:space="preserve">  täiskasvanud</v>
      </c>
      <c r="H898" t="str">
        <f t="shared" si="79"/>
        <v>2013</v>
      </c>
      <c r="I898" t="str">
        <f>"Vaarikalaevukesepõgenik"</f>
        <v>Vaarikalaevukesepõgenik</v>
      </c>
      <c r="J898" t="str">
        <f>"Aaloe, Ülev"</f>
        <v>Aaloe, Ülev</v>
      </c>
      <c r="K898" t="str">
        <f>"NyNorden, Tallinn"</f>
        <v>NyNorden, Tallinn</v>
      </c>
      <c r="L898" t="str">
        <f>""</f>
        <v/>
      </c>
      <c r="M898" t="str">
        <f>"978-9949-9409-1-2"</f>
        <v>978-9949-9409-1-2</v>
      </c>
    </row>
    <row r="899" spans="1:13" ht="15">
      <c r="A899" t="s">
        <v>349</v>
      </c>
      <c r="B899" t="str">
        <f>"19458"</f>
        <v>19458</v>
      </c>
      <c r="C899" t="str">
        <f>"2012"</f>
        <v>2012</v>
      </c>
      <c r="D899" t="str">
        <f>"Syö mitä mielesi tekee"</f>
        <v>Syö mitä mielesi tekee</v>
      </c>
      <c r="E899" t="str">
        <f t="shared" si="77"/>
        <v>viro</v>
      </c>
      <c r="F899" t="str">
        <f>""</f>
        <v/>
      </c>
      <c r="G899" t="str">
        <f>"  täiskasvanud"</f>
        <v xml:space="preserve">  täiskasvanud</v>
      </c>
      <c r="H899" t="str">
        <f t="shared" si="79"/>
        <v>2013</v>
      </c>
      <c r="I899" t="str">
        <f>"Söö, mida hing ihkab"</f>
        <v>Söö, mida hing ihkab</v>
      </c>
      <c r="J899" t="str">
        <f>"Tallo, Toomas"</f>
        <v>Tallo, Toomas</v>
      </c>
      <c r="K899" t="str">
        <f>"Varrak, Tallinn"</f>
        <v>Varrak, Tallinn</v>
      </c>
      <c r="L899" t="str">
        <f>""</f>
        <v/>
      </c>
      <c r="M899" t="str">
        <f>"9789985328293 "</f>
        <v xml:space="preserve">9789985328293 </v>
      </c>
    </row>
    <row r="900" spans="1:13" ht="15">
      <c r="A900" t="s">
        <v>359</v>
      </c>
      <c r="B900" t="str">
        <f>"14923"</f>
        <v>14923</v>
      </c>
      <c r="C900" t="str">
        <f>"1936"</f>
        <v>1936</v>
      </c>
      <c r="D900" t="str">
        <f>"Kolmannen valtakunnan vieraana : rapsodia"</f>
        <v>Kolmannen valtakunnan vieraana : rapsodia</v>
      </c>
      <c r="E900" t="str">
        <f t="shared" si="77"/>
        <v>viro</v>
      </c>
      <c r="F900" t="str">
        <f>""</f>
        <v/>
      </c>
      <c r="G900" t="str">
        <f>"  täiskasvanud"</f>
        <v xml:space="preserve">  täiskasvanud</v>
      </c>
      <c r="H900" t="str">
        <f t="shared" si="79"/>
        <v>2013</v>
      </c>
      <c r="I900" t="str">
        <f>"Külalisena Kolmandas Reich'is : rapsoodia"</f>
        <v>Külalisena Kolmandas Reich'is : rapsoodia</v>
      </c>
      <c r="J900" t="str">
        <f>"Saluri, Piret"</f>
        <v>Saluri, Piret</v>
      </c>
      <c r="K900" t="str">
        <f>"Eesti Keele Sihtasutus EI KÄYTETÄ"</f>
        <v>Eesti Keele Sihtasutus EI KÄYTETÄ</v>
      </c>
      <c r="L900" t="str">
        <f>""</f>
        <v/>
      </c>
      <c r="M900" t="str">
        <f>"9789985795552"</f>
        <v>9789985795552</v>
      </c>
    </row>
    <row r="901" spans="1:13" ht="15">
      <c r="A901" t="s">
        <v>359</v>
      </c>
      <c r="B901" t="str">
        <f>"12164"</f>
        <v>12164</v>
      </c>
      <c r="C901" t="str">
        <f>"1946"</f>
        <v>1946</v>
      </c>
      <c r="D901" t="str">
        <f>"Synkkä yksinpuhelu : päiväkirjan lehtiä vuosilta 1941-1944. 1. ja 2. osa"</f>
        <v>Synkkä yksinpuhelu : päiväkirjan lehtiä vuosilta 1941-1944. 1. ja 2. osa</v>
      </c>
      <c r="E901" t="str">
        <f t="shared" si="77"/>
        <v>viro</v>
      </c>
      <c r="F901" t="str">
        <f>""</f>
        <v/>
      </c>
      <c r="G901" t="str">
        <f>"  täiskasvanud"</f>
        <v xml:space="preserve">  täiskasvanud</v>
      </c>
      <c r="H901" t="str">
        <f t="shared" si="79"/>
        <v>2013</v>
      </c>
      <c r="I901" t="str">
        <f>"Sünge monoloog"</f>
        <v>Sünge monoloog</v>
      </c>
      <c r="J901" t="str">
        <f>"Saluri, Piret"</f>
        <v>Saluri, Piret</v>
      </c>
      <c r="K901" t="str">
        <f>"Eesti Keele Sihtasutus, Tallinn"</f>
        <v>Eesti Keele Sihtasutus, Tallinn</v>
      </c>
      <c r="L901" t="str">
        <f>""</f>
        <v/>
      </c>
      <c r="M901" t="str">
        <f>"978-9985-79-523-1"</f>
        <v>978-9985-79-523-1</v>
      </c>
    </row>
    <row r="902" spans="1:13" ht="15">
      <c r="A902" t="s">
        <v>367</v>
      </c>
      <c r="B902" t="str">
        <f>"13975"</f>
        <v>13975</v>
      </c>
      <c r="C902" t="str">
        <f>"2005"</f>
        <v>2005</v>
      </c>
      <c r="D902" t="str">
        <f>"Ella ja kaverit. 1-3"</f>
        <v>Ella ja kaverit. 1-3</v>
      </c>
      <c r="E902" t="str">
        <f aca="true" t="shared" si="80" ref="E902:E965">"viro"</f>
        <v>viro</v>
      </c>
      <c r="F902" t="str">
        <f>"romaanid; proosa"</f>
        <v>romaanid; proosa</v>
      </c>
      <c r="G902" t="str">
        <f>" lapsed ja noored"</f>
        <v xml:space="preserve"> lapsed ja noored</v>
      </c>
      <c r="H902" t="str">
        <f t="shared" si="79"/>
        <v>2013</v>
      </c>
      <c r="I902" t="str">
        <f>"Ella ja sõbrad. 1"</f>
        <v>Ella ja sõbrad. 1</v>
      </c>
      <c r="J902" t="str">
        <f>"Arder, Elisabeth, Arder, Ott"</f>
        <v>Arder, Elisabeth, Arder, Ott</v>
      </c>
      <c r="K902" t="str">
        <f>"Ajakirjade Kirjastus, Tallinn"</f>
        <v>Ajakirjade Kirjastus, Tallinn</v>
      </c>
      <c r="L902" t="str">
        <f>""</f>
        <v/>
      </c>
      <c r="M902" t="str">
        <f>" 9789949528059"</f>
        <v xml:space="preserve"> 9789949528059</v>
      </c>
    </row>
    <row r="903" spans="1:13" ht="15">
      <c r="A903" t="s">
        <v>367</v>
      </c>
      <c r="B903" t="str">
        <f>"16783"</f>
        <v>16783</v>
      </c>
      <c r="C903" t="str">
        <f>"2011"</f>
        <v>2011</v>
      </c>
      <c r="D903" t="str">
        <f>"Kouluun! : ekaluokkalaisen vanhemmille"</f>
        <v>Kouluun! : ekaluokkalaisen vanhemmille</v>
      </c>
      <c r="E903" t="str">
        <f t="shared" si="80"/>
        <v>viro</v>
      </c>
      <c r="F903" t="str">
        <f>""</f>
        <v/>
      </c>
      <c r="G903" t="str">
        <f>"  täiskasvanud"</f>
        <v xml:space="preserve">  täiskasvanud</v>
      </c>
      <c r="H903" t="str">
        <f t="shared" si="79"/>
        <v>2013</v>
      </c>
      <c r="I903" t="str">
        <f>"Kooli! : esimese klassi õpilase vanematele"</f>
        <v>Kooli! : esimese klassi õpilase vanematele</v>
      </c>
      <c r="J903" t="str">
        <f>"Leino, Mare"</f>
        <v>Leino, Mare</v>
      </c>
      <c r="K903" t="str">
        <f>"Ajakirjade Kirjastus, Tallinn"</f>
        <v>Ajakirjade Kirjastus, Tallinn</v>
      </c>
      <c r="L903" t="str">
        <f>""</f>
        <v/>
      </c>
      <c r="M903" t="str">
        <f>"9789949528042"</f>
        <v>9789949528042</v>
      </c>
    </row>
    <row r="904" spans="1:13" ht="15">
      <c r="A904" t="s">
        <v>422</v>
      </c>
      <c r="B904" t="str">
        <f>"18318"</f>
        <v>18318</v>
      </c>
      <c r="C904" t="str">
        <f>"2010"</f>
        <v>2010</v>
      </c>
      <c r="D904" t="str">
        <f>"Perinnemestarin remonttikirja"</f>
        <v>Perinnemestarin remonttikirja</v>
      </c>
      <c r="E904" t="str">
        <f t="shared" si="80"/>
        <v>viro</v>
      </c>
      <c r="F904" t="str">
        <f>""</f>
        <v/>
      </c>
      <c r="G904" t="str">
        <f>"  täiskasvanud"</f>
        <v xml:space="preserve">  täiskasvanud</v>
      </c>
      <c r="H904" t="str">
        <f t="shared" si="79"/>
        <v>2013</v>
      </c>
      <c r="I904" t="str">
        <f>"Vana maja ajastutruu remont"</f>
        <v>Vana maja ajastutruu remont</v>
      </c>
      <c r="J904" t="str">
        <f>"Tallo, Toomas"</f>
        <v>Tallo, Toomas</v>
      </c>
      <c r="K904" t="str">
        <f>"Varrak, Tallinn"</f>
        <v>Varrak, Tallinn</v>
      </c>
      <c r="L904" t="str">
        <f>""</f>
        <v/>
      </c>
      <c r="M904" t="str">
        <f>"978-9985-3-2717-3"</f>
        <v>978-9985-3-2717-3</v>
      </c>
    </row>
    <row r="905" spans="1:13" ht="15">
      <c r="A905" t="s">
        <v>471</v>
      </c>
      <c r="B905" t="str">
        <f>"16783"</f>
        <v>16783</v>
      </c>
      <c r="C905" t="str">
        <f>"2011"</f>
        <v>2011</v>
      </c>
      <c r="D905" t="str">
        <f>"Kouluun! : ekaluokkalaisen vanhemmille"</f>
        <v>Kouluun! : ekaluokkalaisen vanhemmille</v>
      </c>
      <c r="E905" t="str">
        <f t="shared" si="80"/>
        <v>viro</v>
      </c>
      <c r="F905" t="str">
        <f>""</f>
        <v/>
      </c>
      <c r="G905" t="str">
        <f>"  täiskasvanud"</f>
        <v xml:space="preserve">  täiskasvanud</v>
      </c>
      <c r="H905" t="str">
        <f t="shared" si="79"/>
        <v>2013</v>
      </c>
      <c r="I905" t="str">
        <f>"Kooli! : esimese klassi õpilase vanematele"</f>
        <v>Kooli! : esimese klassi õpilase vanematele</v>
      </c>
      <c r="J905" t="str">
        <f>"Leino, Mare"</f>
        <v>Leino, Mare</v>
      </c>
      <c r="K905" t="str">
        <f>"Ajakirjade Kirjastus, Tallinn"</f>
        <v>Ajakirjade Kirjastus, Tallinn</v>
      </c>
      <c r="L905" t="str">
        <f>""</f>
        <v/>
      </c>
      <c r="M905" t="str">
        <f>"9789949528042"</f>
        <v>9789949528042</v>
      </c>
    </row>
    <row r="906" spans="1:13" ht="15">
      <c r="A906" t="s">
        <v>506</v>
      </c>
      <c r="B906" t="str">
        <f>"12343"</f>
        <v>12343</v>
      </c>
      <c r="C906" t="str">
        <f>"2011"</f>
        <v>2011</v>
      </c>
      <c r="D906" t="str">
        <f>"Layla : romaani"</f>
        <v>Layla : romaani</v>
      </c>
      <c r="E906" t="str">
        <f t="shared" si="80"/>
        <v>viro</v>
      </c>
      <c r="F906" t="str">
        <f>"romaanid; proosa"</f>
        <v>romaanid; proosa</v>
      </c>
      <c r="G906" t="str">
        <f>"  täiskasvanud"</f>
        <v xml:space="preserve">  täiskasvanud</v>
      </c>
      <c r="H906" t="str">
        <f t="shared" si="79"/>
        <v>2013</v>
      </c>
      <c r="I906" t="str">
        <f>"Layla"</f>
        <v>Layla</v>
      </c>
      <c r="J906" t="str">
        <f>"Kaus, Jan"</f>
        <v>Kaus, Jan</v>
      </c>
      <c r="K906" t="str">
        <f>"Varrak, Tallinn"</f>
        <v>Varrak, Tallinn</v>
      </c>
      <c r="L906" t="str">
        <f>""</f>
        <v/>
      </c>
      <c r="M906" t="str">
        <f>"9789985328118"</f>
        <v>9789985328118</v>
      </c>
    </row>
    <row r="907" spans="1:13" ht="15">
      <c r="A907" t="s">
        <v>517</v>
      </c>
      <c r="B907" t="str">
        <f>"12192"</f>
        <v>12192</v>
      </c>
      <c r="C907" t="str">
        <f>"2008"</f>
        <v>2008</v>
      </c>
      <c r="D907" t="str">
        <f>"Tatun ja Patun outo unikirja"</f>
        <v>Tatun ja Patun outo unikirja</v>
      </c>
      <c r="E907" t="str">
        <f t="shared" si="80"/>
        <v>viro</v>
      </c>
      <c r="F907" t="str">
        <f>"pildiraamatud"</f>
        <v>pildiraamatud</v>
      </c>
      <c r="G907" t="str">
        <f>" lapsed ja noored"</f>
        <v xml:space="preserve"> lapsed ja noored</v>
      </c>
      <c r="H907" t="str">
        <f t="shared" si="79"/>
        <v>2013</v>
      </c>
      <c r="I907" t="str">
        <f>"Teedu ja Peedu imelik uneraamat"</f>
        <v>Teedu ja Peedu imelik uneraamat</v>
      </c>
      <c r="J907" t="str">
        <f>"Lagerspetz, Hille"</f>
        <v>Lagerspetz, Hille</v>
      </c>
      <c r="K907" t="str">
        <f>"Hea Lugu, Tallinn"</f>
        <v>Hea Lugu, Tallinn</v>
      </c>
      <c r="L907" t="str">
        <f>""</f>
        <v/>
      </c>
      <c r="M907" t="str">
        <f>"978-9949-475-50-6"</f>
        <v>978-9949-475-50-6</v>
      </c>
    </row>
    <row r="908" spans="1:13" ht="15">
      <c r="A908" t="s">
        <v>529</v>
      </c>
      <c r="B908" t="str">
        <f>"12623"</f>
        <v>12623</v>
      </c>
      <c r="C908" t="str">
        <f>"2011"</f>
        <v>2011</v>
      </c>
      <c r="D908" t="str">
        <f>"Lemmikkielämää : ihmisen eläinsuhde ja eläinten hyödyntäminen"</f>
        <v>Lemmikkielämää : ihmisen eläinsuhde ja eläinten hyödyntäminen</v>
      </c>
      <c r="E908" t="str">
        <f t="shared" si="80"/>
        <v>viro</v>
      </c>
      <c r="F908" t="str">
        <f>""</f>
        <v/>
      </c>
      <c r="G908" t="str">
        <f>"  täiskasvanud"</f>
        <v xml:space="preserve">  täiskasvanud</v>
      </c>
      <c r="H908" t="str">
        <f t="shared" si="79"/>
        <v>2013</v>
      </c>
      <c r="I908" t="str">
        <f>"Lemmikloomade elu"</f>
        <v>Lemmikloomade elu</v>
      </c>
      <c r="J908" t="str">
        <f>"Jaanits, Kadri"</f>
        <v>Jaanits, Kadri</v>
      </c>
      <c r="K908" t="str">
        <f>"Tänapäev, Tallinn"</f>
        <v>Tänapäev, Tallinn</v>
      </c>
      <c r="L908" t="str">
        <f>""</f>
        <v/>
      </c>
      <c r="M908" t="str">
        <f>"978-9949-27-382-9"</f>
        <v>978-9949-27-382-9</v>
      </c>
    </row>
    <row r="909" spans="1:13" ht="15">
      <c r="A909" t="s">
        <v>535</v>
      </c>
      <c r="B909" t="str">
        <f>"12251"</f>
        <v>12251</v>
      </c>
      <c r="C909" t="str">
        <f>""</f>
        <v/>
      </c>
      <c r="D909" t="str">
        <f>""</f>
        <v/>
      </c>
      <c r="E909" t="str">
        <f t="shared" si="80"/>
        <v>viro</v>
      </c>
      <c r="F909" t="str">
        <f>""</f>
        <v/>
      </c>
      <c r="G909" t="str">
        <f>"  täiskasvanud"</f>
        <v xml:space="preserve">  täiskasvanud</v>
      </c>
      <c r="H909" t="str">
        <f t="shared" si="79"/>
        <v>2013</v>
      </c>
      <c r="I909" t="str">
        <f>"Maarjamaa"</f>
        <v>Maarjamaa</v>
      </c>
      <c r="J909" t="str">
        <f>"Paikre, Ants"</f>
        <v>Paikre, Ants</v>
      </c>
      <c r="K909" t="str">
        <f>"Loomingu raamatukogu, Tallinn"</f>
        <v>Loomingu raamatukogu, Tallinn</v>
      </c>
      <c r="L909" t="str">
        <f>""</f>
        <v/>
      </c>
      <c r="M909" t="str">
        <f>"978-9949-514-17-5"</f>
        <v>978-9949-514-17-5</v>
      </c>
    </row>
    <row r="910" spans="1:13" ht="15">
      <c r="A910" t="s">
        <v>539</v>
      </c>
      <c r="B910" t="str">
        <f>"13686"</f>
        <v>13686</v>
      </c>
      <c r="C910" t="str">
        <f>"2012"</f>
        <v>2012</v>
      </c>
      <c r="D910" t="str">
        <f>"Mekkotehdas"</f>
        <v>Mekkotehdas</v>
      </c>
      <c r="E910" t="str">
        <f t="shared" si="80"/>
        <v>viro</v>
      </c>
      <c r="F910" t="str">
        <f>""</f>
        <v/>
      </c>
      <c r="G910" t="str">
        <f>"  täiskasvanud"</f>
        <v xml:space="preserve">  täiskasvanud</v>
      </c>
      <c r="H910" t="str">
        <f t="shared" si="79"/>
        <v>2013</v>
      </c>
      <c r="I910" t="str">
        <f>"Kleidivabrik"</f>
        <v>Kleidivabrik</v>
      </c>
      <c r="J910" t="str">
        <f>"Toomet, Tiina"</f>
        <v>Toomet, Tiina</v>
      </c>
      <c r="K910" t="str">
        <f>"Maalehe raamat, Tallinn"</f>
        <v>Maalehe raamat, Tallinn</v>
      </c>
      <c r="L910" t="str">
        <f>""</f>
        <v/>
      </c>
      <c r="M910" t="str">
        <f>"978-9985-64-485-0"</f>
        <v>978-9985-64-485-0</v>
      </c>
    </row>
    <row r="911" spans="1:13" ht="15">
      <c r="A911" t="s">
        <v>563</v>
      </c>
      <c r="B911" t="str">
        <f>"12551"</f>
        <v>12551</v>
      </c>
      <c r="C911" t="str">
        <f>"1964"</f>
        <v>1964</v>
      </c>
      <c r="D911" t="str">
        <f>"Ihmiskunnan viholliset"</f>
        <v>Ihmiskunnan viholliset</v>
      </c>
      <c r="E911" t="str">
        <f t="shared" si="80"/>
        <v>viro</v>
      </c>
      <c r="F911" t="str">
        <f>"romaanid; proosa"</f>
        <v>romaanid; proosa</v>
      </c>
      <c r="G911" t="str">
        <f>"  täiskasvanud"</f>
        <v xml:space="preserve">  täiskasvanud</v>
      </c>
      <c r="H911" t="str">
        <f t="shared" si="79"/>
        <v>2013</v>
      </c>
      <c r="I911" t="str">
        <f>"Inimkonna vaenslased"</f>
        <v>Inimkonna vaenslased</v>
      </c>
      <c r="J911" t="str">
        <f>"Saluri, Piret"</f>
        <v>Saluri, Piret</v>
      </c>
      <c r="K911" t="str">
        <f>"Varrak, Tallinn"</f>
        <v>Varrak, Tallinn</v>
      </c>
      <c r="L911" t="str">
        <f>""</f>
        <v/>
      </c>
      <c r="M911" t="str">
        <f>"978-9985-3-2906-1"</f>
        <v>978-9985-3-2906-1</v>
      </c>
    </row>
    <row r="912" spans="1:13" ht="15">
      <c r="A912" t="s">
        <v>572</v>
      </c>
      <c r="B912" t="str">
        <f>"12624"</f>
        <v>12624</v>
      </c>
      <c r="C912" t="str">
        <f>"2013"</f>
        <v>2013</v>
      </c>
      <c r="D912" t="str">
        <f>"Kulttuuria ja kumouspuuhia : Helsingin virolaisyhteisö 1900-luvun alussa"</f>
        <v>Kulttuuria ja kumouspuuhia : Helsingin virolaisyhteisö 1900-luvun alussa</v>
      </c>
      <c r="E912" t="str">
        <f t="shared" si="80"/>
        <v>viro</v>
      </c>
      <c r="F912" t="str">
        <f>""</f>
        <v/>
      </c>
      <c r="G912" t="str">
        <f>"  täiskasvanud"</f>
        <v xml:space="preserve">  täiskasvanud</v>
      </c>
      <c r="H912" t="str">
        <f t="shared" si="79"/>
        <v>2013</v>
      </c>
      <c r="I912" t="str">
        <f>"Kultuurisillad ja revolutsioonituuled"</f>
        <v>Kultuurisillad ja revolutsioonituuled</v>
      </c>
      <c r="J912" t="str">
        <f>"Jaanits, Kadri, Olesk, Sirje"</f>
        <v>Jaanits, Kadri, Olesk, Sirje</v>
      </c>
      <c r="K912" t="str">
        <f>"Tänapäev, Tallinn"</f>
        <v>Tänapäev, Tallinn</v>
      </c>
      <c r="L912" t="str">
        <f>""</f>
        <v/>
      </c>
      <c r="M912" t="str">
        <f>"978-9949-27-428-4"</f>
        <v>978-9949-27-428-4</v>
      </c>
    </row>
    <row r="913" spans="2:13" ht="15">
      <c r="B913" t="str">
        <f>"15406"</f>
        <v>15406</v>
      </c>
      <c r="C913" t="str">
        <f>""</f>
        <v/>
      </c>
      <c r="D913" t="str">
        <f>""</f>
        <v/>
      </c>
      <c r="E913" t="str">
        <f t="shared" si="80"/>
        <v>viro</v>
      </c>
      <c r="F913" t="str">
        <f>"lühiproosa; tieteiskirjallisuus; proosa"</f>
        <v>lühiproosa; tieteiskirjallisuus; proosa</v>
      </c>
      <c r="G913" t="str">
        <f>"  täiskasvanud"</f>
        <v xml:space="preserve">  täiskasvanud</v>
      </c>
      <c r="H913" t="str">
        <f aca="true" t="shared" si="81" ref="H913:H943">"2014"</f>
        <v>2014</v>
      </c>
      <c r="I913" t="str">
        <f>"Soome ulme, 2"</f>
        <v>Soome ulme, 2</v>
      </c>
      <c r="J913" t="str">
        <f>"Nikkarev, Arvi"</f>
        <v>Nikkarev, Arvi</v>
      </c>
      <c r="K913" t="str">
        <f>"Skarabeus, Saue"</f>
        <v>Skarabeus, Saue</v>
      </c>
      <c r="L913" t="str">
        <f>""</f>
        <v/>
      </c>
      <c r="M913" t="str">
        <f>"978-9949-9147-3-9"</f>
        <v>978-9949-9147-3-9</v>
      </c>
    </row>
    <row r="914" spans="1:13" ht="15">
      <c r="A914" t="s">
        <v>53</v>
      </c>
      <c r="B914" t="str">
        <f>"12652"</f>
        <v>12652</v>
      </c>
      <c r="C914" t="str">
        <f>"2010"</f>
        <v>2010</v>
      </c>
      <c r="D914" t="str">
        <f>"Katoamispiste"</f>
        <v>Katoamispiste</v>
      </c>
      <c r="E914" t="str">
        <f t="shared" si="80"/>
        <v>viro</v>
      </c>
      <c r="F914" t="str">
        <f>"romaanid; proosa"</f>
        <v>romaanid; proosa</v>
      </c>
      <c r="G914" t="str">
        <f>"  täiskasvanud"</f>
        <v xml:space="preserve">  täiskasvanud</v>
      </c>
      <c r="H914" t="str">
        <f t="shared" si="81"/>
        <v>2014</v>
      </c>
      <c r="I914" t="str">
        <f>"Kadumispunkt"</f>
        <v>Kadumispunkt</v>
      </c>
      <c r="J914" t="str">
        <f>"Saluri, Piret"</f>
        <v>Saluri, Piret</v>
      </c>
      <c r="K914" t="str">
        <f>"Kultuurileht, Tallinn"</f>
        <v>Kultuurileht, Tallinn</v>
      </c>
      <c r="L914" t="str">
        <f>""</f>
        <v/>
      </c>
      <c r="M914" t="str">
        <f>"978-9949-514-48-9"</f>
        <v>978-9949-514-48-9</v>
      </c>
    </row>
    <row r="915" spans="1:13" ht="15">
      <c r="A915" t="s">
        <v>53</v>
      </c>
      <c r="B915" t="str">
        <f>"12756"</f>
        <v>12756</v>
      </c>
      <c r="C915" t="str">
        <f>"2013"</f>
        <v>2013</v>
      </c>
      <c r="D915" t="str">
        <f>"Tähtikirkas, lumivalkea"</f>
        <v>Tähtikirkas, lumivalkea</v>
      </c>
      <c r="E915" t="str">
        <f t="shared" si="80"/>
        <v>viro</v>
      </c>
      <c r="F915" t="str">
        <f>"romaanid; proosa"</f>
        <v>romaanid; proosa</v>
      </c>
      <c r="G915" t="str">
        <f>"  täiskasvanud"</f>
        <v xml:space="preserve">  täiskasvanud</v>
      </c>
      <c r="H915" t="str">
        <f t="shared" si="81"/>
        <v>2014</v>
      </c>
      <c r="I915" t="str">
        <f>"Täheselge, lumivalge"</f>
        <v>Täheselge, lumivalge</v>
      </c>
      <c r="J915" t="str">
        <f>"Lagerspetz, Hille"</f>
        <v>Lagerspetz, Hille</v>
      </c>
      <c r="K915" t="str">
        <f>"Hea Lugu, Tallinn"</f>
        <v>Hea Lugu, Tallinn</v>
      </c>
      <c r="L915" t="str">
        <f>""</f>
        <v/>
      </c>
      <c r="M915" t="str">
        <f>"978-9949-538-14-0"</f>
        <v>978-9949-538-14-0</v>
      </c>
    </row>
    <row r="916" spans="1:13" ht="15">
      <c r="A916" t="s">
        <v>68</v>
      </c>
      <c r="B916" t="str">
        <f>"13024"</f>
        <v>13024</v>
      </c>
      <c r="C916" t="str">
        <f>"2000"</f>
        <v>2000</v>
      </c>
      <c r="D916" t="str">
        <f>"Veera ja menopelit"</f>
        <v>Veera ja menopelit</v>
      </c>
      <c r="E916" t="str">
        <f t="shared" si="80"/>
        <v>viro</v>
      </c>
      <c r="F916" t="str">
        <f>"pildiraamatud"</f>
        <v>pildiraamatud</v>
      </c>
      <c r="G916" t="str">
        <f>" lapsed ja noored"</f>
        <v xml:space="preserve"> lapsed ja noored</v>
      </c>
      <c r="H916" t="str">
        <f t="shared" si="81"/>
        <v>2014</v>
      </c>
      <c r="I916" t="str">
        <f>"Veera ja sõidukid"</f>
        <v>Veera ja sõidukid</v>
      </c>
      <c r="J916" t="str">
        <f>"Lagerspetz, Hille"</f>
        <v>Lagerspetz, Hille</v>
      </c>
      <c r="K916" t="str">
        <f>"Hea Lugu, Tallinn"</f>
        <v>Hea Lugu, Tallinn</v>
      </c>
      <c r="L916" t="str">
        <f>""</f>
        <v/>
      </c>
      <c r="M916" t="str">
        <f>"978-9949-475-53-7"</f>
        <v>978-9949-475-53-7</v>
      </c>
    </row>
    <row r="917" spans="1:13" ht="15">
      <c r="A917" t="s">
        <v>76</v>
      </c>
      <c r="B917" t="str">
        <f>"12955"</f>
        <v>12955</v>
      </c>
      <c r="C917" t="str">
        <f>"2013"</f>
        <v>2013</v>
      </c>
      <c r="D917" t="str">
        <f>"Me, Keisarinna : romaani"</f>
        <v>Me, Keisarinna : romaani</v>
      </c>
      <c r="E917" t="str">
        <f t="shared" si="80"/>
        <v>viro</v>
      </c>
      <c r="F917" t="str">
        <f>"romaanid; proosa"</f>
        <v>romaanid; proosa</v>
      </c>
      <c r="G917" t="str">
        <f>"  täiskasvanud"</f>
        <v xml:space="preserve">  täiskasvanud</v>
      </c>
      <c r="H917" t="str">
        <f t="shared" si="81"/>
        <v>2014</v>
      </c>
      <c r="I917" t="str">
        <f>"Meie, Keisrinna"</f>
        <v>Meie, Keisrinna</v>
      </c>
      <c r="J917" t="str">
        <f>"Berg, Maimu"</f>
        <v>Berg, Maimu</v>
      </c>
      <c r="K917" t="str">
        <f>"Varrak, Tallinn"</f>
        <v>Varrak, Tallinn</v>
      </c>
      <c r="L917" t="str">
        <f>""</f>
        <v/>
      </c>
      <c r="M917" t="str">
        <f>"978-9985-3-3214-6"</f>
        <v>978-9985-3-3214-6</v>
      </c>
    </row>
    <row r="918" spans="1:13" ht="15">
      <c r="A918" t="s">
        <v>97</v>
      </c>
      <c r="B918" t="str">
        <f>"12757"</f>
        <v>12757</v>
      </c>
      <c r="C918" t="str">
        <f>"2013"</f>
        <v>2013</v>
      </c>
      <c r="D918" t="str">
        <f>"Hipinäaasi apinahiisi"</f>
        <v>Hipinäaasi apinahiisi</v>
      </c>
      <c r="E918" t="str">
        <f t="shared" si="80"/>
        <v>viro</v>
      </c>
      <c r="F918" t="str">
        <f>"pildiraamatud"</f>
        <v>pildiraamatud</v>
      </c>
      <c r="G918" t="str">
        <f>" lapsed ja noored"</f>
        <v xml:space="preserve"> lapsed ja noored</v>
      </c>
      <c r="H918" t="str">
        <f t="shared" si="81"/>
        <v>2014</v>
      </c>
      <c r="I918" t="str">
        <f>"Eesliköhv köösliahv"</f>
        <v>Eesliköhv köösliahv</v>
      </c>
      <c r="J918" t="str">
        <f>"Jaanits, Kadri"</f>
        <v>Jaanits, Kadri</v>
      </c>
      <c r="K918" t="str">
        <f>"Koolibri, Tallinn"</f>
        <v>Koolibri, Tallinn</v>
      </c>
      <c r="L918" t="str">
        <f>""</f>
        <v/>
      </c>
      <c r="M918" t="str">
        <f>"978-9985-0-3328-9"</f>
        <v>978-9985-0-3328-9</v>
      </c>
    </row>
    <row r="919" spans="1:13" ht="15">
      <c r="A919" t="s">
        <v>112</v>
      </c>
      <c r="B919" t="str">
        <f>"12629"</f>
        <v>12629</v>
      </c>
      <c r="C919" t="str">
        <f>"2012"</f>
        <v>2012</v>
      </c>
      <c r="D919" t="str">
        <f>"Teemestarin kirja"</f>
        <v>Teemestarin kirja</v>
      </c>
      <c r="E919" t="str">
        <f t="shared" si="80"/>
        <v>viro</v>
      </c>
      <c r="F919" t="str">
        <f>"romaanid; tieteiskirjallisuus; proosa"</f>
        <v>romaanid; tieteiskirjallisuus; proosa</v>
      </c>
      <c r="G919" t="str">
        <f>"  täiskasvanud"</f>
        <v xml:space="preserve">  täiskasvanud</v>
      </c>
      <c r="H919" t="str">
        <f t="shared" si="81"/>
        <v>2014</v>
      </c>
      <c r="I919" t="str">
        <f>"Vesi mäletab"</f>
        <v>Vesi mäletab</v>
      </c>
      <c r="J919" t="str">
        <f>"Jaanits, Kadri"</f>
        <v>Jaanits, Kadri</v>
      </c>
      <c r="K919" t="str">
        <f>"Koolibri, Tallinn"</f>
        <v>Koolibri, Tallinn</v>
      </c>
      <c r="L919" t="str">
        <f>""</f>
        <v/>
      </c>
      <c r="M919" t="str">
        <f>"978-9985-0-2455-3"</f>
        <v>978-9985-0-2455-3</v>
      </c>
    </row>
    <row r="920" spans="1:13" ht="15">
      <c r="A920" t="s">
        <v>117</v>
      </c>
      <c r="B920" t="str">
        <f>"12890"</f>
        <v>12890</v>
      </c>
      <c r="C920" t="str">
        <f>""</f>
        <v/>
      </c>
      <c r="D920" t="str">
        <f>""</f>
        <v/>
      </c>
      <c r="E920" t="str">
        <f t="shared" si="80"/>
        <v>viro</v>
      </c>
      <c r="F920" t="str">
        <f>"lühiproosa, proosa"</f>
        <v>lühiproosa, proosa</v>
      </c>
      <c r="G920" t="str">
        <f>"  täiskasvanud"</f>
        <v xml:space="preserve">  täiskasvanud</v>
      </c>
      <c r="H920" t="str">
        <f t="shared" si="81"/>
        <v>2014</v>
      </c>
      <c r="I920" t="str">
        <f>"Sõnumid : valik novelle"</f>
        <v>Sõnumid : valik novelle</v>
      </c>
      <c r="J920" t="str">
        <f>"Aaloe, Maarja, Aaloe, Ülev"</f>
        <v>Aaloe, Maarja, Aaloe, Ülev</v>
      </c>
      <c r="K920" t="str">
        <f>"NyNorden, Tallinn"</f>
        <v>NyNorden, Tallinn</v>
      </c>
      <c r="L920" t="str">
        <f>""</f>
        <v/>
      </c>
      <c r="M920" t="str">
        <f>"978-9949-9409-9-8"</f>
        <v>978-9949-9409-9-8</v>
      </c>
    </row>
    <row r="921" spans="1:13" ht="15">
      <c r="A921" t="s">
        <v>126</v>
      </c>
      <c r="B921" t="str">
        <f>"14920"</f>
        <v>14920</v>
      </c>
      <c r="C921" t="str">
        <f>"1959"</f>
        <v>1959</v>
      </c>
      <c r="D921" t="str">
        <f>"Maria Jotunin aforismit"</f>
        <v>Maria Jotunin aforismit</v>
      </c>
      <c r="E921" t="str">
        <f t="shared" si="80"/>
        <v>viro</v>
      </c>
      <c r="F921" t="str">
        <f>"aforismid. tsitaadid; proosa"</f>
        <v>aforismid. tsitaadid; proosa</v>
      </c>
      <c r="G921" t="str">
        <f>"  täiskasvanud"</f>
        <v xml:space="preserve">  täiskasvanud</v>
      </c>
      <c r="H921" t="str">
        <f t="shared" si="81"/>
        <v>2014</v>
      </c>
      <c r="I921" t="str">
        <f>"Kõik õige on vastupidav"</f>
        <v>Kõik õige on vastupidav</v>
      </c>
      <c r="J921" t="str">
        <f>"Pääsuke, Piret"</f>
        <v>Pääsuke, Piret</v>
      </c>
      <c r="K921" t="str">
        <f>"Kultuurileht, Tallinn"</f>
        <v>Kultuurileht, Tallinn</v>
      </c>
      <c r="L921" t="str">
        <f>""</f>
        <v/>
      </c>
      <c r="M921" t="str">
        <f>"9789949514779"</f>
        <v>9789949514779</v>
      </c>
    </row>
    <row r="922" spans="1:13" ht="15">
      <c r="A922" t="s">
        <v>130</v>
      </c>
      <c r="B922" t="str">
        <f>"12720"</f>
        <v>12720</v>
      </c>
      <c r="C922" t="str">
        <f>"2012"</f>
        <v>2012</v>
      </c>
      <c r="D922" t="str">
        <f>"Neuvostoliiton tragedia : utopiasta vankileirien saaristoksi"</f>
        <v>Neuvostoliiton tragedia : utopiasta vankileirien saaristoksi</v>
      </c>
      <c r="E922" t="str">
        <f t="shared" si="80"/>
        <v>viro</v>
      </c>
      <c r="F922" t="str">
        <f>""</f>
        <v/>
      </c>
      <c r="G922" t="str">
        <f>"  täiskasvanud"</f>
        <v xml:space="preserve">  täiskasvanud</v>
      </c>
      <c r="H922" t="str">
        <f t="shared" si="81"/>
        <v>2014</v>
      </c>
      <c r="I922" t="str">
        <f>"Taevast põrgusse"</f>
        <v>Taevast põrgusse</v>
      </c>
      <c r="J922" t="str">
        <f>"Paikre, Ants"</f>
        <v>Paikre, Ants</v>
      </c>
      <c r="K922" t="str">
        <f>"Koolibri, Tallinn"</f>
        <v>Koolibri, Tallinn</v>
      </c>
      <c r="L922" t="str">
        <f>""</f>
        <v/>
      </c>
      <c r="M922" t="str">
        <f>"978-9985-0-3165-0"</f>
        <v>978-9985-0-3165-0</v>
      </c>
    </row>
    <row r="923" spans="1:13" ht="15">
      <c r="A923" t="s">
        <v>157</v>
      </c>
      <c r="B923" t="str">
        <f>"12990"</f>
        <v>12990</v>
      </c>
      <c r="C923" t="str">
        <f>"2013"</f>
        <v>2013</v>
      </c>
      <c r="D923" t="str">
        <f>"Tove Jansson : tee työtä ja rakasta"</f>
        <v>Tove Jansson : tee työtä ja rakasta</v>
      </c>
      <c r="E923" t="str">
        <f t="shared" si="80"/>
        <v>viro</v>
      </c>
      <c r="F923" t="str">
        <f>""</f>
        <v/>
      </c>
      <c r="G923" t="str">
        <f>"  täiskasvanud"</f>
        <v xml:space="preserve">  täiskasvanud</v>
      </c>
      <c r="H923" t="str">
        <f t="shared" si="81"/>
        <v>2014</v>
      </c>
      <c r="I923" t="str">
        <f>"Tove Jansson : Tee tööd ja armasta"</f>
        <v>Tove Jansson : Tee tööd ja armasta</v>
      </c>
      <c r="J923" t="str">
        <f>"Jaanits, Kadri"</f>
        <v>Jaanits, Kadri</v>
      </c>
      <c r="K923" t="str">
        <f>"Varrak, Tallinn"</f>
        <v>Varrak, Tallinn</v>
      </c>
      <c r="L923" t="str">
        <f>""</f>
        <v/>
      </c>
      <c r="M923" t="str">
        <f>"978-9985-3-3229-0"</f>
        <v>978-9985-3-3229-0</v>
      </c>
    </row>
    <row r="924" spans="1:13" ht="15">
      <c r="A924" t="s">
        <v>184</v>
      </c>
      <c r="B924" t="str">
        <f>"12726"</f>
        <v>12726</v>
      </c>
      <c r="C924" t="str">
        <f>"2013"</f>
        <v>2013</v>
      </c>
      <c r="D924" t="str">
        <f>"Molli"</f>
        <v>Molli</v>
      </c>
      <c r="E924" t="str">
        <f t="shared" si="80"/>
        <v>viro</v>
      </c>
      <c r="F924" t="str">
        <f>"pildiraamatud"</f>
        <v>pildiraamatud</v>
      </c>
      <c r="G924" t="str">
        <f>" lapsed ja noored"</f>
        <v xml:space="preserve"> lapsed ja noored</v>
      </c>
      <c r="H924" t="str">
        <f t="shared" si="81"/>
        <v>2014</v>
      </c>
      <c r="I924" t="str">
        <f>"Molli"</f>
        <v>Molli</v>
      </c>
      <c r="J924" t="str">
        <f>"Rüütel, Jaak"</f>
        <v>Rüütel, Jaak</v>
      </c>
      <c r="K924" t="str">
        <f>"Helios, Tallinn"</f>
        <v>Helios, Tallinn</v>
      </c>
      <c r="L924" t="str">
        <f>""</f>
        <v/>
      </c>
      <c r="M924" t="str">
        <f>"978-9949-9526-5-6"</f>
        <v>978-9949-9526-5-6</v>
      </c>
    </row>
    <row r="925" spans="1:13" ht="15">
      <c r="A925" t="s">
        <v>201</v>
      </c>
      <c r="B925" t="str">
        <f>"13059"</f>
        <v>13059</v>
      </c>
      <c r="C925" t="str">
        <f>"2012"</f>
        <v>2012</v>
      </c>
      <c r="D925" t="str">
        <f>"Me Rosvolat ja iso-Hemmin arkku"</f>
        <v>Me Rosvolat ja iso-Hemmin arkku</v>
      </c>
      <c r="E925" t="str">
        <f t="shared" si="80"/>
        <v>viro</v>
      </c>
      <c r="F925" t="str">
        <f>"proosa"</f>
        <v>proosa</v>
      </c>
      <c r="G925" t="str">
        <f>" lapsed ja noored"</f>
        <v xml:space="preserve"> lapsed ja noored</v>
      </c>
      <c r="H925" t="str">
        <f t="shared" si="81"/>
        <v>2014</v>
      </c>
      <c r="I925" t="str">
        <f>"Meie, Röö̈belid, ja Suur-Hemmi aardekirs"</f>
        <v>Meie, Röö̈belid, ja Suur-Hemmi aardekirs</v>
      </c>
      <c r="J925" t="str">
        <f>"Kaldmaa, Kätlin"</f>
        <v>Kaldmaa, Kätlin</v>
      </c>
      <c r="K925" t="str">
        <f>"Ajakirjade Kirjastus, Tallinn"</f>
        <v>Ajakirjade Kirjastus, Tallinn</v>
      </c>
      <c r="L925" t="str">
        <f>""</f>
        <v/>
      </c>
      <c r="M925" t="str">
        <f>"978-9949-528-60-8"</f>
        <v>978-9949-528-60-8</v>
      </c>
    </row>
    <row r="926" spans="1:13" ht="15">
      <c r="A926" t="s">
        <v>205</v>
      </c>
      <c r="B926" t="str">
        <f>"13035"</f>
        <v>13035</v>
      </c>
      <c r="C926" t="str">
        <f>"2012"</f>
        <v>2012</v>
      </c>
      <c r="D926" t="str">
        <f>"Kuono lumessa"</f>
        <v>Kuono lumessa</v>
      </c>
      <c r="E926" t="str">
        <f t="shared" si="80"/>
        <v>viro</v>
      </c>
      <c r="F926" t="str">
        <f>"pildiraamatud"</f>
        <v>pildiraamatud</v>
      </c>
      <c r="G926" t="str">
        <f>" lapsed ja noored"</f>
        <v xml:space="preserve"> lapsed ja noored</v>
      </c>
      <c r="H926" t="str">
        <f t="shared" si="81"/>
        <v>2014</v>
      </c>
      <c r="I926" t="str">
        <f>"Hiireke Tupsu seikleb lumes"</f>
        <v>Hiireke Tupsu seikleb lumes</v>
      </c>
      <c r="J926" t="str">
        <f>"Rüütel, Jaak"</f>
        <v>Rüütel, Jaak</v>
      </c>
      <c r="K926" t="str">
        <f>"Helios, Tallinn"</f>
        <v>Helios, Tallinn</v>
      </c>
      <c r="L926" t="str">
        <f>""</f>
        <v/>
      </c>
      <c r="M926" t="str">
        <f>"978-9949-9570-2-6"</f>
        <v>978-9949-9570-2-6</v>
      </c>
    </row>
    <row r="927" spans="1:13" ht="15">
      <c r="A927" t="s">
        <v>217</v>
      </c>
      <c r="B927" t="str">
        <f>"13021"</f>
        <v>13021</v>
      </c>
      <c r="C927" t="str">
        <f>"2013"</f>
        <v>2013</v>
      </c>
      <c r="D927" t="str">
        <f>"Hullunkurinen kuvasanakirja"</f>
        <v>Hullunkurinen kuvasanakirja</v>
      </c>
      <c r="E927" t="str">
        <f t="shared" si="80"/>
        <v>viro</v>
      </c>
      <c r="F927" t="str">
        <f>"pildiraamatud"</f>
        <v>pildiraamatud</v>
      </c>
      <c r="G927" t="str">
        <f>" lapsed ja noored"</f>
        <v xml:space="preserve"> lapsed ja noored</v>
      </c>
      <c r="H927" t="str">
        <f t="shared" si="81"/>
        <v>2014</v>
      </c>
      <c r="I927" t="str">
        <f>"Lustakas piltsõnaraamat"</f>
        <v>Lustakas piltsõnaraamat</v>
      </c>
      <c r="J927" t="str">
        <f>"Lilleväli, Piret"</f>
        <v>Lilleväli, Piret</v>
      </c>
      <c r="K927" t="str">
        <f>"Ajakirjade Kirjastus, Tallinn"</f>
        <v>Ajakirjade Kirjastus, Tallinn</v>
      </c>
      <c r="L927" t="str">
        <f>""</f>
        <v/>
      </c>
      <c r="M927" t="str">
        <f>"978-9949-39-021-2"</f>
        <v>978-9949-39-021-2</v>
      </c>
    </row>
    <row r="928" spans="1:13" ht="15">
      <c r="A928" t="s">
        <v>217</v>
      </c>
      <c r="B928" t="str">
        <f>"12931"</f>
        <v>12931</v>
      </c>
      <c r="C928" t="str">
        <f>"2012"</f>
        <v>2012</v>
      </c>
      <c r="D928" t="str">
        <f>"Piitles : tarina erään rockbändin alkutaipaleesta"</f>
        <v>Piitles : tarina erään rockbändin alkutaipaleesta</v>
      </c>
      <c r="E928" t="str">
        <f t="shared" si="80"/>
        <v>viro</v>
      </c>
      <c r="F928" t="str">
        <f>"sarjakuvat"</f>
        <v>sarjakuvat</v>
      </c>
      <c r="G928" t="str">
        <f>"  täiskasvanud"</f>
        <v xml:space="preserve">  täiskasvanud</v>
      </c>
      <c r="H928" t="str">
        <f t="shared" si="81"/>
        <v>2014</v>
      </c>
      <c r="I928" t="str">
        <f>"Biitlid - lugu ühe rokkansambli teekonna algusest"</f>
        <v>Biitlid - lugu ühe rokkansambli teekonna algusest</v>
      </c>
      <c r="J928" t="str">
        <f>"Lepp, Andres"</f>
        <v>Lepp, Andres</v>
      </c>
      <c r="K928" t="str">
        <f>"Sinisukk, Tallinn"</f>
        <v>Sinisukk, Tallinn</v>
      </c>
      <c r="L928" t="str">
        <f>""</f>
        <v/>
      </c>
      <c r="M928" t="str">
        <f>"978-9949-34-216-7"</f>
        <v>978-9949-34-216-7</v>
      </c>
    </row>
    <row r="929" spans="1:13" ht="15">
      <c r="A929" t="s">
        <v>217</v>
      </c>
      <c r="B929" t="str">
        <f>"13308"</f>
        <v>13308</v>
      </c>
      <c r="C929" t="str">
        <f>""</f>
        <v/>
      </c>
      <c r="D929" t="str">
        <f>"Suuret tarinat"</f>
        <v>Suuret tarinat</v>
      </c>
      <c r="E929" t="str">
        <f t="shared" si="80"/>
        <v>viro</v>
      </c>
      <c r="F929" t="str">
        <f>"pildiraamatud"</f>
        <v>pildiraamatud</v>
      </c>
      <c r="G929" t="str">
        <f>" lapsed ja noored"</f>
        <v xml:space="preserve"> lapsed ja noored</v>
      </c>
      <c r="H929" t="str">
        <f t="shared" si="81"/>
        <v>2014</v>
      </c>
      <c r="I929" t="str">
        <f>"Kangelaslood"</f>
        <v>Kangelaslood</v>
      </c>
      <c r="J929" t="str">
        <f>"Rütel, Eve"</f>
        <v>Rütel, Eve</v>
      </c>
      <c r="K929" t="str">
        <f>"Sinisukk, Tallinn"</f>
        <v>Sinisukk, Tallinn</v>
      </c>
      <c r="L929" t="str">
        <f>""</f>
        <v/>
      </c>
      <c r="M929" t="str">
        <f>"978-9949-34-205-1"</f>
        <v>978-9949-34-205-1</v>
      </c>
    </row>
    <row r="930" spans="1:13" ht="15">
      <c r="A930" t="s">
        <v>219</v>
      </c>
      <c r="B930" t="str">
        <f>"13308"</f>
        <v>13308</v>
      </c>
      <c r="C930" t="str">
        <f>""</f>
        <v/>
      </c>
      <c r="D930" t="str">
        <f>"Suuret tarinat"</f>
        <v>Suuret tarinat</v>
      </c>
      <c r="E930" t="str">
        <f t="shared" si="80"/>
        <v>viro</v>
      </c>
      <c r="F930" t="str">
        <f>"pildiraamatud"</f>
        <v>pildiraamatud</v>
      </c>
      <c r="G930" t="str">
        <f>" lapsed ja noored"</f>
        <v xml:space="preserve"> lapsed ja noored</v>
      </c>
      <c r="H930" t="str">
        <f t="shared" si="81"/>
        <v>2014</v>
      </c>
      <c r="I930" t="str">
        <f>"Kangelaslood"</f>
        <v>Kangelaslood</v>
      </c>
      <c r="J930" t="str">
        <f>"Rütel, Eve"</f>
        <v>Rütel, Eve</v>
      </c>
      <c r="K930" t="str">
        <f>"Sinisukk, Tallinn"</f>
        <v>Sinisukk, Tallinn</v>
      </c>
      <c r="L930" t="str">
        <f>""</f>
        <v/>
      </c>
      <c r="M930" t="str">
        <f>"978-9949-34-205-1"</f>
        <v>978-9949-34-205-1</v>
      </c>
    </row>
    <row r="931" spans="1:13" ht="15">
      <c r="A931" t="s">
        <v>276</v>
      </c>
      <c r="B931" t="str">
        <f>"13070"</f>
        <v>13070</v>
      </c>
      <c r="C931" t="str">
        <f>"2011"</f>
        <v>2011</v>
      </c>
      <c r="D931" t="str">
        <f>"Isänmaan tähden"</f>
        <v>Isänmaan tähden</v>
      </c>
      <c r="E931" t="str">
        <f t="shared" si="80"/>
        <v>viro</v>
      </c>
      <c r="F931" t="str">
        <f>"romaanid; proosa"</f>
        <v>romaanid; proosa</v>
      </c>
      <c r="G931" t="str">
        <f>"  täiskasvanud"</f>
        <v xml:space="preserve">  täiskasvanud</v>
      </c>
      <c r="H931" t="str">
        <f t="shared" si="81"/>
        <v>2014</v>
      </c>
      <c r="I931" t="str">
        <f>"Isamaa nimel"</f>
        <v>Isamaa nimel</v>
      </c>
      <c r="J931" t="str">
        <f>"Tallo, Toomas"</f>
        <v>Tallo, Toomas</v>
      </c>
      <c r="K931" t="str">
        <f>"Pegasus, Tallinn"</f>
        <v>Pegasus, Tallinn</v>
      </c>
      <c r="L931" t="str">
        <f>""</f>
        <v/>
      </c>
      <c r="M931" t="str">
        <f>"978-9949-531-23-3"</f>
        <v>978-9949-531-23-3</v>
      </c>
    </row>
    <row r="932" spans="1:13" ht="15">
      <c r="A932" t="s">
        <v>287</v>
      </c>
      <c r="B932" t="str">
        <f>"12627"</f>
        <v>12627</v>
      </c>
      <c r="C932" t="str">
        <f>"2012"</f>
        <v>2012</v>
      </c>
      <c r="D932" t="str">
        <f>"Is : roman"</f>
        <v>Is : roman</v>
      </c>
      <c r="E932" t="str">
        <f t="shared" si="80"/>
        <v>viro</v>
      </c>
      <c r="F932" t="str">
        <f>"romaanid; proosa"</f>
        <v>romaanid; proosa</v>
      </c>
      <c r="G932" t="str">
        <f>"  täiskasvanud"</f>
        <v xml:space="preserve">  täiskasvanud</v>
      </c>
      <c r="H932" t="str">
        <f t="shared" si="81"/>
        <v>2014</v>
      </c>
      <c r="I932" t="str">
        <f>"Jää"</f>
        <v>Jää</v>
      </c>
      <c r="J932" t="str">
        <f>"Arnover, Tõnis"</f>
        <v>Arnover, Tõnis</v>
      </c>
      <c r="K932" t="str">
        <f>"Eesti Raamat, Tallinn"</f>
        <v>Eesti Raamat, Tallinn</v>
      </c>
      <c r="L932" t="str">
        <f>""</f>
        <v/>
      </c>
      <c r="M932" t="str">
        <f>"978-9949-525-28-7"</f>
        <v>978-9949-525-28-7</v>
      </c>
    </row>
    <row r="933" spans="1:13" ht="15">
      <c r="A933" t="s">
        <v>314</v>
      </c>
      <c r="B933" t="str">
        <f>"17592"</f>
        <v>17592</v>
      </c>
      <c r="C933" t="str">
        <f>"2013"</f>
        <v>2013</v>
      </c>
      <c r="D933" t="str">
        <f>"Virkkuri"</f>
        <v>Virkkuri</v>
      </c>
      <c r="E933" t="str">
        <f t="shared" si="80"/>
        <v>viro</v>
      </c>
      <c r="F933" t="str">
        <f>""</f>
        <v/>
      </c>
      <c r="G933" t="str">
        <f>"  täiskasvanud"</f>
        <v xml:space="preserve">  täiskasvanud</v>
      </c>
      <c r="H933" t="str">
        <f t="shared" si="81"/>
        <v>2014</v>
      </c>
      <c r="I933" t="str">
        <f>"Moodsad heegeldised : [heegeldatud aksessuaarid sinu koju]"</f>
        <v>Moodsad heegeldised : [heegeldatud aksessuaarid sinu koju]</v>
      </c>
      <c r="J933" t="str">
        <f>"Toomet, Tiina"</f>
        <v>Toomet, Tiina</v>
      </c>
      <c r="K933" t="str">
        <f>"Hea Lugu, Tallinn"</f>
        <v>Hea Lugu, Tallinn</v>
      </c>
      <c r="L933" t="str">
        <f>""</f>
        <v/>
      </c>
      <c r="M933" t="str">
        <f>"9789949538645"</f>
        <v>9789949538645</v>
      </c>
    </row>
    <row r="934" spans="1:13" ht="15">
      <c r="A934" t="s">
        <v>323</v>
      </c>
      <c r="B934" t="str">
        <f>"12751"</f>
        <v>12751</v>
      </c>
      <c r="C934" t="str">
        <f>"2012"</f>
        <v>2012</v>
      </c>
      <c r="D934" t="str">
        <f>"Sheriffi"</f>
        <v>Sheriffi</v>
      </c>
      <c r="E934" t="str">
        <f t="shared" si="80"/>
        <v>viro</v>
      </c>
      <c r="F934" t="str">
        <f>"romaanid; põnevus- ja krimikirjandus; proosa"</f>
        <v>romaanid; põnevus- ja krimikirjandus; proosa</v>
      </c>
      <c r="G934" t="str">
        <f>"  täiskasvanud"</f>
        <v xml:space="preserve">  täiskasvanud</v>
      </c>
      <c r="H934" t="str">
        <f t="shared" si="81"/>
        <v>2014</v>
      </c>
      <c r="I934" t="str">
        <f>"Šerif"</f>
        <v>Šerif</v>
      </c>
      <c r="J934" t="str">
        <f>"Ringeveld, Katrin"</f>
        <v>Ringeveld, Katrin</v>
      </c>
      <c r="K934" t="str">
        <f>"Eesti Raamat, Tallinn"</f>
        <v>Eesti Raamat, Tallinn</v>
      </c>
      <c r="L934" t="str">
        <f>""</f>
        <v/>
      </c>
      <c r="M934" t="str">
        <f>"978-9949-525-45-4"</f>
        <v>978-9949-525-45-4</v>
      </c>
    </row>
    <row r="935" spans="1:13" ht="15">
      <c r="A935" t="s">
        <v>337</v>
      </c>
      <c r="B935" t="str">
        <f>"12952"</f>
        <v>12952</v>
      </c>
      <c r="C935" t="str">
        <f>"1998"</f>
        <v>1998</v>
      </c>
      <c r="D935" t="str">
        <f>"Tango on intohimoni"</f>
        <v>Tango on intohimoni</v>
      </c>
      <c r="E935" t="str">
        <f t="shared" si="80"/>
        <v>viro</v>
      </c>
      <c r="F935" t="str">
        <f>""</f>
        <v/>
      </c>
      <c r="G935" t="str">
        <f>"  täiskasvanud"</f>
        <v xml:space="preserve">  täiskasvanud</v>
      </c>
      <c r="H935" t="str">
        <f t="shared" si="81"/>
        <v>2014</v>
      </c>
      <c r="I935" t="str">
        <f>"Tango on mu kirg"</f>
        <v>Tango on mu kirg</v>
      </c>
      <c r="J935" t="str">
        <f>"Labi, Kanni"</f>
        <v>Labi, Kanni</v>
      </c>
      <c r="K935" t="str">
        <f>"Lorem Ipsum, Märjamaa"</f>
        <v>Lorem Ipsum, Märjamaa</v>
      </c>
      <c r="L935" t="str">
        <f>""</f>
        <v/>
      </c>
      <c r="M935" t="str">
        <f>"978-9949-33-991-4"</f>
        <v>978-9949-33-991-4</v>
      </c>
    </row>
    <row r="936" spans="1:13" ht="15">
      <c r="A936" t="s">
        <v>346</v>
      </c>
      <c r="B936" t="str">
        <f>"14102"</f>
        <v>14102</v>
      </c>
      <c r="C936" t="str">
        <f>"2005"</f>
        <v>2005</v>
      </c>
      <c r="D936" t="str">
        <f>"Baby Jane"</f>
        <v>Baby Jane</v>
      </c>
      <c r="E936" t="str">
        <f t="shared" si="80"/>
        <v>viro</v>
      </c>
      <c r="F936" t="str">
        <f>"romaanid; proosa"</f>
        <v>romaanid; proosa</v>
      </c>
      <c r="G936" t="str">
        <f>"  täiskasvanud"</f>
        <v xml:space="preserve">  täiskasvanud</v>
      </c>
      <c r="H936" t="str">
        <f t="shared" si="81"/>
        <v>2014</v>
      </c>
      <c r="I936" t="str">
        <f>"Baby Jane"</f>
        <v>Baby Jane</v>
      </c>
      <c r="J936" t="str">
        <f>"Pappel, Tiina"</f>
        <v>Pappel, Tiina</v>
      </c>
      <c r="K936" t="str">
        <f>"Varrak, Tallinn"</f>
        <v>Varrak, Tallinn</v>
      </c>
      <c r="L936" t="str">
        <f>""</f>
        <v/>
      </c>
      <c r="M936" t="str">
        <f>"9789985329924"</f>
        <v>9789985329924</v>
      </c>
    </row>
    <row r="937" spans="1:13" ht="15">
      <c r="A937" t="s">
        <v>354</v>
      </c>
      <c r="B937" t="str">
        <f>"14921"</f>
        <v>14921</v>
      </c>
      <c r="C937" t="str">
        <f>"2011"</f>
        <v>2011</v>
      </c>
      <c r="D937" t="str">
        <f>"Nimeltään Kekkonen"</f>
        <v>Nimeltään Kekkonen</v>
      </c>
      <c r="E937" t="str">
        <f t="shared" si="80"/>
        <v>viro</v>
      </c>
      <c r="F937" t="str">
        <f>"romaanid; proosa"</f>
        <v>romaanid; proosa</v>
      </c>
      <c r="G937" t="str">
        <f>"  täiskasvanud"</f>
        <v xml:space="preserve">  täiskasvanud</v>
      </c>
      <c r="H937" t="str">
        <f t="shared" si="81"/>
        <v>2014</v>
      </c>
      <c r="I937" t="str">
        <f>"Mees nimega Kekkonen"</f>
        <v>Mees nimega Kekkonen</v>
      </c>
      <c r="J937" t="str">
        <f>"Paikre, Ants"</f>
        <v>Paikre, Ants</v>
      </c>
      <c r="K937" t="str">
        <f>"Pegasus, Tallinn"</f>
        <v>Pegasus, Tallinn</v>
      </c>
      <c r="L937" t="str">
        <f>""</f>
        <v/>
      </c>
      <c r="M937" t="str">
        <f>"9789949550203"</f>
        <v>9789949550203</v>
      </c>
    </row>
    <row r="938" spans="1:13" ht="15">
      <c r="A938" t="s">
        <v>367</v>
      </c>
      <c r="B938" t="str">
        <f>"13976"</f>
        <v>13976</v>
      </c>
      <c r="C938" t="str">
        <f>"2013"</f>
        <v>2013</v>
      </c>
      <c r="D938" t="str">
        <f>"Ella ja kaverit. 2"</f>
        <v>Ella ja kaverit. 2</v>
      </c>
      <c r="E938" t="str">
        <f t="shared" si="80"/>
        <v>viro</v>
      </c>
      <c r="F938" t="str">
        <f>"romaanid; proosa"</f>
        <v>romaanid; proosa</v>
      </c>
      <c r="G938" t="str">
        <f>" lapsed ja noored"</f>
        <v xml:space="preserve"> lapsed ja noored</v>
      </c>
      <c r="H938" t="str">
        <f t="shared" si="81"/>
        <v>2014</v>
      </c>
      <c r="I938" t="str">
        <f>"Ella ja sõbrad. 2"</f>
        <v>Ella ja sõbrad. 2</v>
      </c>
      <c r="J938" t="str">
        <f>"Arder, Elisabeth"</f>
        <v>Arder, Elisabeth</v>
      </c>
      <c r="K938" t="str">
        <f>"Ajakirjade Kirjastus, Tallinn"</f>
        <v>Ajakirjade Kirjastus, Tallinn</v>
      </c>
      <c r="L938" t="str">
        <f>""</f>
        <v/>
      </c>
      <c r="M938" t="str">
        <f>"978-9949-528-42-4"</f>
        <v>978-9949-528-42-4</v>
      </c>
    </row>
    <row r="939" spans="1:13" ht="15">
      <c r="A939" t="s">
        <v>468</v>
      </c>
      <c r="B939" t="str">
        <f>"12709"</f>
        <v>12709</v>
      </c>
      <c r="C939" t="str">
        <f>"2013"</f>
        <v>2013</v>
      </c>
      <c r="D939" t="str">
        <f>"Punainen kuin veri"</f>
        <v>Punainen kuin veri</v>
      </c>
      <c r="E939" t="str">
        <f t="shared" si="80"/>
        <v>viro</v>
      </c>
      <c r="F939" t="str">
        <f>"romaanid; põnevus- ja krimikirjandus; proosa"</f>
        <v>romaanid; põnevus- ja krimikirjandus; proosa</v>
      </c>
      <c r="G939" t="str">
        <f>" lapsed ja noored"</f>
        <v xml:space="preserve"> lapsed ja noored</v>
      </c>
      <c r="H939" t="str">
        <f t="shared" si="81"/>
        <v>2014</v>
      </c>
      <c r="I939" t="str">
        <f>"Punane nagu veri"</f>
        <v>Punane nagu veri</v>
      </c>
      <c r="J939" t="str">
        <f>"Jaanits, Kadri"</f>
        <v>Jaanits, Kadri</v>
      </c>
      <c r="K939" t="str">
        <f>"Pegasus, Tallinn"</f>
        <v>Pegasus, Tallinn</v>
      </c>
      <c r="L939" t="str">
        <f>""</f>
        <v/>
      </c>
      <c r="M939" t="str">
        <f>"978-9949-531-43-1"</f>
        <v>978-9949-531-43-1</v>
      </c>
    </row>
    <row r="940" spans="1:13" ht="15">
      <c r="A940" t="s">
        <v>501</v>
      </c>
      <c r="B940" t="str">
        <f>"13490"</f>
        <v>13490</v>
      </c>
      <c r="C940" t="str">
        <f>"2013"</f>
        <v>2013</v>
      </c>
      <c r="D940" t="str">
        <f>"Provinsen bortom havet"</f>
        <v>Provinsen bortom havet</v>
      </c>
      <c r="E940" t="str">
        <f t="shared" si="80"/>
        <v>viro</v>
      </c>
      <c r="F940" t="str">
        <f>""</f>
        <v/>
      </c>
      <c r="G940" t="str">
        <f>"  täiskasvanud"</f>
        <v xml:space="preserve">  täiskasvanud</v>
      </c>
      <c r="H940" t="str">
        <f t="shared" si="81"/>
        <v>2014</v>
      </c>
      <c r="I940" t="str">
        <f>"Meretagune maa"</f>
        <v>Meretagune maa</v>
      </c>
      <c r="J940" t="str">
        <f>"Rüütli, Ivar"</f>
        <v>Rüütli, Ivar</v>
      </c>
      <c r="K940" t="str">
        <f>"Varrak, Tallinn"</f>
        <v>Varrak, Tallinn</v>
      </c>
      <c r="L940" t="str">
        <f>""</f>
        <v/>
      </c>
      <c r="M940" t="str">
        <f>"978-9985-3-3249-8"</f>
        <v>978-9985-3-3249-8</v>
      </c>
    </row>
    <row r="941" spans="1:13" ht="15">
      <c r="A941" t="s">
        <v>502</v>
      </c>
      <c r="B941" t="str">
        <f>"13490"</f>
        <v>13490</v>
      </c>
      <c r="C941" t="str">
        <f>"2013"</f>
        <v>2013</v>
      </c>
      <c r="D941" t="str">
        <f>"Provinsen bortom havet"</f>
        <v>Provinsen bortom havet</v>
      </c>
      <c r="E941" t="str">
        <f t="shared" si="80"/>
        <v>viro</v>
      </c>
      <c r="F941" t="str">
        <f>""</f>
        <v/>
      </c>
      <c r="G941" t="str">
        <f>"  täiskasvanud"</f>
        <v xml:space="preserve">  täiskasvanud</v>
      </c>
      <c r="H941" t="str">
        <f t="shared" si="81"/>
        <v>2014</v>
      </c>
      <c r="I941" t="str">
        <f>"Meretagune maa"</f>
        <v>Meretagune maa</v>
      </c>
      <c r="J941" t="str">
        <f>"Rüütli, Ivar"</f>
        <v>Rüütli, Ivar</v>
      </c>
      <c r="K941" t="str">
        <f>"Varrak, Tallinn"</f>
        <v>Varrak, Tallinn</v>
      </c>
      <c r="L941" t="str">
        <f>""</f>
        <v/>
      </c>
      <c r="M941" t="str">
        <f>"978-9985-3-3249-8"</f>
        <v>978-9985-3-3249-8</v>
      </c>
    </row>
    <row r="942" spans="1:13" ht="15">
      <c r="A942" t="s">
        <v>517</v>
      </c>
      <c r="B942" t="str">
        <f>"13024"</f>
        <v>13024</v>
      </c>
      <c r="C942" t="str">
        <f>"2000"</f>
        <v>2000</v>
      </c>
      <c r="D942" t="str">
        <f>"Veera ja menopelit"</f>
        <v>Veera ja menopelit</v>
      </c>
      <c r="E942" t="str">
        <f t="shared" si="80"/>
        <v>viro</v>
      </c>
      <c r="F942" t="str">
        <f>"pildiraamatud"</f>
        <v>pildiraamatud</v>
      </c>
      <c r="G942" t="str">
        <f>" lapsed ja noored"</f>
        <v xml:space="preserve"> lapsed ja noored</v>
      </c>
      <c r="H942" t="str">
        <f t="shared" si="81"/>
        <v>2014</v>
      </c>
      <c r="I942" t="str">
        <f>"Veera ja sõidukid"</f>
        <v>Veera ja sõidukid</v>
      </c>
      <c r="J942" t="str">
        <f>"Lagerspetz, Hille"</f>
        <v>Lagerspetz, Hille</v>
      </c>
      <c r="K942" t="str">
        <f>"Hea Lugu, Tallinn"</f>
        <v>Hea Lugu, Tallinn</v>
      </c>
      <c r="L942" t="str">
        <f>""</f>
        <v/>
      </c>
      <c r="M942" t="str">
        <f>"978-9949-475-53-7"</f>
        <v>978-9949-475-53-7</v>
      </c>
    </row>
    <row r="943" spans="1:13" ht="15">
      <c r="A943" t="s">
        <v>564</v>
      </c>
      <c r="B943" t="str">
        <f>"12956"</f>
        <v>12956</v>
      </c>
      <c r="C943" t="str">
        <f>"2013"</f>
        <v>2013</v>
      </c>
      <c r="D943" t="str">
        <f>"Hägring 38 : roman"</f>
        <v>Hägring 38 : roman</v>
      </c>
      <c r="E943" t="str">
        <f t="shared" si="80"/>
        <v>viro</v>
      </c>
      <c r="F943" t="str">
        <f>"romaanid; proosa"</f>
        <v>romaanid; proosa</v>
      </c>
      <c r="G943" t="str">
        <f>"  täiskasvanud"</f>
        <v xml:space="preserve">  täiskasvanud</v>
      </c>
      <c r="H943" t="str">
        <f t="shared" si="81"/>
        <v>2014</v>
      </c>
      <c r="I943" t="str">
        <f>"Terendus 38"</f>
        <v>Terendus 38</v>
      </c>
      <c r="J943" t="str">
        <f>"Arnover, Tõnis"</f>
        <v>Arnover, Tõnis</v>
      </c>
      <c r="K943" t="str">
        <f>"Eesti Raamat, Tallinn"</f>
        <v>Eesti Raamat, Tallinn</v>
      </c>
      <c r="L943" t="str">
        <f>""</f>
        <v/>
      </c>
      <c r="M943" t="str">
        <f>"978-9949-525-64-5"</f>
        <v>978-9949-525-64-5</v>
      </c>
    </row>
    <row r="944" spans="2:13" ht="15">
      <c r="B944" t="str">
        <f>"13287"</f>
        <v>13287</v>
      </c>
      <c r="C944" t="str">
        <f>""</f>
        <v/>
      </c>
      <c r="D944" t="str">
        <f>""</f>
        <v/>
      </c>
      <c r="E944" t="str">
        <f t="shared" si="80"/>
        <v>viro</v>
      </c>
      <c r="F944" t="str">
        <f>"luule, lüürika"</f>
        <v>luule, lüürika</v>
      </c>
      <c r="G944" t="str">
        <f>"  täiskasvanud"</f>
        <v xml:space="preserve">  täiskasvanud</v>
      </c>
      <c r="H944" t="str">
        <f aca="true" t="shared" si="82" ref="H944:H979">"2015"</f>
        <v>2015</v>
      </c>
      <c r="I944" t="str">
        <f>"8 + 8. 2. osa"</f>
        <v>8 + 8. 2. osa</v>
      </c>
      <c r="J944" t="str">
        <f>"Aareleid, Kai, Aho, Merja, Arola, Varja, Friman, Tuula Irene, Kaldmaa, Kätlin, Kruusa, Kalju, Ljokkoi, Anniina, Meriluoto, Katja, Oittinen, Hannu, Park, Eeva, Pippuri, Hanna, Põldmäe, Asta, Roos, Mari-Liis, Vain, Eha"</f>
        <v>Aareleid, Kai, Aho, Merja, Arola, Varja, Friman, Tuula Irene, Kaldmaa, Kätlin, Kruusa, Kalju, Ljokkoi, Anniina, Meriluoto, Katja, Oittinen, Hannu, Park, Eeva, Pippuri, Hanna, Põldmäe, Asta, Roos, Mari-Liis, Vain, Eha</v>
      </c>
      <c r="K944" t="str">
        <f>"NyNorden, Tallinn"</f>
        <v>NyNorden, Tallinn</v>
      </c>
      <c r="L944" t="str">
        <f>""</f>
        <v/>
      </c>
      <c r="M944" t="str">
        <f>"978-9949-9600-4-0"</f>
        <v>978-9949-9600-4-0</v>
      </c>
    </row>
    <row r="945" spans="2:13" ht="15">
      <c r="B945" t="str">
        <f>"15133"</f>
        <v>15133</v>
      </c>
      <c r="C945" t="str">
        <f>"2006"</f>
        <v>2006</v>
      </c>
      <c r="D945" t="str">
        <f>"Maailmanhistorian pikkujättiläinen"</f>
        <v>Maailmanhistorian pikkujättiläinen</v>
      </c>
      <c r="E945" t="str">
        <f t="shared" si="80"/>
        <v>viro</v>
      </c>
      <c r="F945" t="str">
        <f>""</f>
        <v/>
      </c>
      <c r="G945" t="str">
        <f>"  täiskasvanud"</f>
        <v xml:space="preserve">  täiskasvanud</v>
      </c>
      <c r="H945" t="str">
        <f t="shared" si="82"/>
        <v>2015</v>
      </c>
      <c r="I945" t="str">
        <f>"Maailma ajalugu"</f>
        <v>Maailma ajalugu</v>
      </c>
      <c r="J945" t="str">
        <f>"Bahovski, Erkki, Vaht, Elle"</f>
        <v>Bahovski, Erkki, Vaht, Elle</v>
      </c>
      <c r="K945" t="str">
        <f>"Varrak, Tallinn"</f>
        <v>Varrak, Tallinn</v>
      </c>
      <c r="L945" t="str">
        <f>""</f>
        <v/>
      </c>
      <c r="M945" t="str">
        <f>"9789985331552"</f>
        <v>9789985331552</v>
      </c>
    </row>
    <row r="946" spans="2:13" ht="15">
      <c r="B946" t="str">
        <f>"16200"</f>
        <v>16200</v>
      </c>
      <c r="C946" t="str">
        <f>"2015"</f>
        <v>2015</v>
      </c>
      <c r="D946" t="str">
        <f>"Putin tulee kylään : Venäjän politiikan hurjimmat vitsit"</f>
        <v>Putin tulee kylään : Venäjän politiikan hurjimmat vitsit</v>
      </c>
      <c r="E946" t="str">
        <f t="shared" si="80"/>
        <v>viro</v>
      </c>
      <c r="F946" t="str">
        <f>"folkloor"</f>
        <v>folkloor</v>
      </c>
      <c r="G946" t="str">
        <f>"  täiskasvanud"</f>
        <v xml:space="preserve">  täiskasvanud</v>
      </c>
      <c r="H946" t="str">
        <f t="shared" si="82"/>
        <v>2015</v>
      </c>
      <c r="I946" t="str">
        <f>"Putin tuli külla : Vene poliitika metsikuimad naljad"</f>
        <v>Putin tuli külla : Vene poliitika metsikuimad naljad</v>
      </c>
      <c r="J946" t="str">
        <f>"Kenk-Jokinen, Kaire, Lauk, Ülar"</f>
        <v>Kenk-Jokinen, Kaire, Lauk, Ülar</v>
      </c>
      <c r="K946" t="str">
        <f>"Tänapäev, Tallinn"</f>
        <v>Tänapäev, Tallinn</v>
      </c>
      <c r="L946" t="str">
        <f>""</f>
        <v/>
      </c>
      <c r="M946" t="str">
        <f>"9789949277988"</f>
        <v>9789949277988</v>
      </c>
    </row>
    <row r="947" spans="1:13" ht="15">
      <c r="A947" t="s">
        <v>97</v>
      </c>
      <c r="B947" t="str">
        <f>"14913"</f>
        <v>14913</v>
      </c>
      <c r="C947" t="str">
        <f>"2015"</f>
        <v>2015</v>
      </c>
      <c r="D947" t="str">
        <f>"Isovaarin alppiruusu"</f>
        <v>Isovaarin alppiruusu</v>
      </c>
      <c r="E947" t="str">
        <f t="shared" si="80"/>
        <v>viro</v>
      </c>
      <c r="F947" t="str">
        <f>"pildiraamatud"</f>
        <v>pildiraamatud</v>
      </c>
      <c r="G947" t="str">
        <f>" lapsed ja noored"</f>
        <v xml:space="preserve"> lapsed ja noored</v>
      </c>
      <c r="H947" t="str">
        <f t="shared" si="82"/>
        <v>2015</v>
      </c>
      <c r="I947" t="str">
        <f>"Vanaisa rododendron"</f>
        <v>Vanaisa rododendron</v>
      </c>
      <c r="J947" t="str">
        <f>"Jaanits, Kadri"</f>
        <v>Jaanits, Kadri</v>
      </c>
      <c r="K947" t="str">
        <f>"Savukeidas, Turku"</f>
        <v>Savukeidas, Turku</v>
      </c>
      <c r="L947" t="str">
        <f>""</f>
        <v/>
      </c>
      <c r="M947" t="str">
        <f>"9789522681386"</f>
        <v>9789522681386</v>
      </c>
    </row>
    <row r="948" spans="1:13" ht="15">
      <c r="A948" t="s">
        <v>126</v>
      </c>
      <c r="B948" t="str">
        <f>"13382"</f>
        <v>13382</v>
      </c>
      <c r="C948" t="str">
        <f>"1907"</f>
        <v>1907</v>
      </c>
      <c r="D948" t="str">
        <f>"Rakkautta : novelleja"</f>
        <v>Rakkautta : novelleja</v>
      </c>
      <c r="E948" t="str">
        <f t="shared" si="80"/>
        <v>viro</v>
      </c>
      <c r="F948" t="str">
        <f>"lühiproosa, proosa"</f>
        <v>lühiproosa, proosa</v>
      </c>
      <c r="G948" t="str">
        <f>"  täiskasvanud"</f>
        <v xml:space="preserve">  täiskasvanud</v>
      </c>
      <c r="H948" t="str">
        <f t="shared" si="82"/>
        <v>2015</v>
      </c>
      <c r="I948" t="str">
        <f>"Armastus"</f>
        <v>Armastus</v>
      </c>
      <c r="J948" t="str">
        <f>"Banhard, Evelin, Kaldmaa, Kätlin, Lagerspetz, Hille, Leek, Ave, Mõisnik, Mihkel, Põldmäe, Asta, Sepp, Arvi, Velsker, Eva"</f>
        <v>Banhard, Evelin, Kaldmaa, Kätlin, Lagerspetz, Hille, Leek, Ave, Mõisnik, Mihkel, Põldmäe, Asta, Sepp, Arvi, Velsker, Eva</v>
      </c>
      <c r="K948" t="str">
        <f>"Loomingu raamatukogu, Tallinn"</f>
        <v>Loomingu raamatukogu, Tallinn</v>
      </c>
      <c r="L948" t="str">
        <f>""</f>
        <v/>
      </c>
      <c r="M948" t="str">
        <f>"978-9949-563-11-1"</f>
        <v>978-9949-563-11-1</v>
      </c>
    </row>
    <row r="949" spans="1:13" ht="15">
      <c r="A949" t="s">
        <v>183</v>
      </c>
      <c r="B949" t="str">
        <f>"13099"</f>
        <v>13099</v>
      </c>
      <c r="C949" t="str">
        <f>"2014"</f>
        <v>2014</v>
      </c>
      <c r="D949" t="str">
        <f>"Neljäntienristeys"</f>
        <v>Neljäntienristeys</v>
      </c>
      <c r="E949" t="str">
        <f t="shared" si="80"/>
        <v>viro</v>
      </c>
      <c r="F949" t="str">
        <f>"romaanid; proosa"</f>
        <v>romaanid; proosa</v>
      </c>
      <c r="G949" t="str">
        <f>"  täiskasvanud"</f>
        <v xml:space="preserve">  täiskasvanud</v>
      </c>
      <c r="H949" t="str">
        <f t="shared" si="82"/>
        <v>2015</v>
      </c>
      <c r="I949" t="str">
        <f>"Nelja tee rist"</f>
        <v>Nelja tee rist</v>
      </c>
      <c r="J949" t="str">
        <f>"Kaus, Jan"</f>
        <v>Kaus, Jan</v>
      </c>
      <c r="K949" t="str">
        <f>"Varrak, Tallinn"</f>
        <v>Varrak, Tallinn</v>
      </c>
      <c r="L949" t="str">
        <f>""</f>
        <v/>
      </c>
      <c r="M949" t="str">
        <f>"978-9985-3-3384-6"</f>
        <v>978-9985-3-3384-6</v>
      </c>
    </row>
    <row r="950" spans="1:13" ht="15">
      <c r="A950" t="s">
        <v>201</v>
      </c>
      <c r="B950" t="str">
        <f>"14914"</f>
        <v>14914</v>
      </c>
      <c r="C950" t="str">
        <f>"2013"</f>
        <v>2013</v>
      </c>
      <c r="D950" t="str">
        <f>"Me Rosvolat ja vaakunaväijy"</f>
        <v>Me Rosvolat ja vaakunaväijy</v>
      </c>
      <c r="E950" t="str">
        <f t="shared" si="80"/>
        <v>viro</v>
      </c>
      <c r="F950" t="str">
        <f>"proosa"</f>
        <v>proosa</v>
      </c>
      <c r="G950" t="str">
        <f>" lapsed ja noored"</f>
        <v xml:space="preserve"> lapsed ja noored</v>
      </c>
      <c r="H950" t="str">
        <f t="shared" si="82"/>
        <v>2015</v>
      </c>
      <c r="I950" t="str">
        <f>"Meie, Rööbelid, ja vapijaht"</f>
        <v>Meie, Rööbelid, ja vapijaht</v>
      </c>
      <c r="J950" t="str">
        <f>"Kaldmaa, Kätlin"</f>
        <v>Kaldmaa, Kätlin</v>
      </c>
      <c r="K950" t="str">
        <f>"Ajakirjade Kirjastus, Tallinn"</f>
        <v>Ajakirjade Kirjastus, Tallinn</v>
      </c>
      <c r="L950" t="str">
        <f>""</f>
        <v/>
      </c>
      <c r="M950" t="str">
        <f>"9789949391479"</f>
        <v>9789949391479</v>
      </c>
    </row>
    <row r="951" spans="1:13" ht="15">
      <c r="A951" t="s">
        <v>217</v>
      </c>
      <c r="B951" t="str">
        <f>"14915"</f>
        <v>14915</v>
      </c>
      <c r="C951" t="str">
        <f>"1989"</f>
        <v>1989</v>
      </c>
      <c r="D951" t="str">
        <f>"Kaikkien aikojen avaruuskirja"</f>
        <v>Kaikkien aikojen avaruuskirja</v>
      </c>
      <c r="E951" t="str">
        <f t="shared" si="80"/>
        <v>viro</v>
      </c>
      <c r="F951" t="str">
        <f>"pildiraamatud"</f>
        <v>pildiraamatud</v>
      </c>
      <c r="G951" t="str">
        <f>" lapsed ja noored"</f>
        <v xml:space="preserve"> lapsed ja noored</v>
      </c>
      <c r="H951" t="str">
        <f t="shared" si="82"/>
        <v>2015</v>
      </c>
      <c r="I951" t="str">
        <f>"Kõigi aegade kosmoseraamat"</f>
        <v>Kõigi aegade kosmoseraamat</v>
      </c>
      <c r="J951" t="str">
        <f>"Ellermaa, Einar"</f>
        <v>Ellermaa, Einar</v>
      </c>
      <c r="K951" t="str">
        <f>"Ajakirjade Kirjastus, Tallinn"</f>
        <v>Ajakirjade Kirjastus, Tallinn</v>
      </c>
      <c r="L951" t="str">
        <f>""</f>
        <v/>
      </c>
      <c r="M951" t="str">
        <f>"9789949391011"</f>
        <v>9789949391011</v>
      </c>
    </row>
    <row r="952" spans="1:13" ht="15">
      <c r="A952" t="s">
        <v>217</v>
      </c>
      <c r="B952" t="str">
        <f>"13207"</f>
        <v>13207</v>
      </c>
      <c r="C952" t="str">
        <f>"2003"</f>
        <v>2003</v>
      </c>
      <c r="D952" t="str">
        <f>"Onnin paras joululahja"</f>
        <v>Onnin paras joululahja</v>
      </c>
      <c r="E952" t="str">
        <f t="shared" si="80"/>
        <v>viro</v>
      </c>
      <c r="F952" t="str">
        <f>"pildiraamatud"</f>
        <v>pildiraamatud</v>
      </c>
      <c r="G952" t="str">
        <f>" lapsed ja noored"</f>
        <v xml:space="preserve"> lapsed ja noored</v>
      </c>
      <c r="H952" t="str">
        <f t="shared" si="82"/>
        <v>2015</v>
      </c>
      <c r="I952" t="str">
        <f>"Tõnni parim jõulukink"</f>
        <v>Tõnni parim jõulukink</v>
      </c>
      <c r="J952" t="str">
        <f>"Kass, Kristiina"</f>
        <v>Kass, Kristiina</v>
      </c>
      <c r="K952" t="str">
        <f>"Sinisukk, Tallinn"</f>
        <v>Sinisukk, Tallinn</v>
      </c>
      <c r="L952" t="str">
        <f>""</f>
        <v/>
      </c>
      <c r="M952" t="str">
        <f>"9789949343386"</f>
        <v>9789949343386</v>
      </c>
    </row>
    <row r="953" spans="1:13" ht="15">
      <c r="A953" t="s">
        <v>219</v>
      </c>
      <c r="B953" t="str">
        <f>"14915"</f>
        <v>14915</v>
      </c>
      <c r="C953" t="str">
        <f>"1989"</f>
        <v>1989</v>
      </c>
      <c r="D953" t="str">
        <f>"Kaikkien aikojen avaruuskirja"</f>
        <v>Kaikkien aikojen avaruuskirja</v>
      </c>
      <c r="E953" t="str">
        <f t="shared" si="80"/>
        <v>viro</v>
      </c>
      <c r="F953" t="str">
        <f>"pildiraamatud"</f>
        <v>pildiraamatud</v>
      </c>
      <c r="G953" t="str">
        <f>" lapsed ja noored"</f>
        <v xml:space="preserve"> lapsed ja noored</v>
      </c>
      <c r="H953" t="str">
        <f t="shared" si="82"/>
        <v>2015</v>
      </c>
      <c r="I953" t="str">
        <f>"Kõigi aegade kosmoseraamat"</f>
        <v>Kõigi aegade kosmoseraamat</v>
      </c>
      <c r="J953" t="str">
        <f>"Ellermaa, Einar"</f>
        <v>Ellermaa, Einar</v>
      </c>
      <c r="K953" t="str">
        <f>"Ajakirjade Kirjastus, Tallinn"</f>
        <v>Ajakirjade Kirjastus, Tallinn</v>
      </c>
      <c r="L953" t="str">
        <f>""</f>
        <v/>
      </c>
      <c r="M953" t="str">
        <f>"9789949391011"</f>
        <v>9789949391011</v>
      </c>
    </row>
    <row r="954" spans="1:13" ht="15">
      <c r="A954" t="s">
        <v>219</v>
      </c>
      <c r="B954" t="str">
        <f>"13207"</f>
        <v>13207</v>
      </c>
      <c r="C954" t="str">
        <f>"2003"</f>
        <v>2003</v>
      </c>
      <c r="D954" t="str">
        <f>"Onnin paras joululahja"</f>
        <v>Onnin paras joululahja</v>
      </c>
      <c r="E954" t="str">
        <f t="shared" si="80"/>
        <v>viro</v>
      </c>
      <c r="F954" t="str">
        <f>"pildiraamatud"</f>
        <v>pildiraamatud</v>
      </c>
      <c r="G954" t="str">
        <f>" lapsed ja noored"</f>
        <v xml:space="preserve"> lapsed ja noored</v>
      </c>
      <c r="H954" t="str">
        <f t="shared" si="82"/>
        <v>2015</v>
      </c>
      <c r="I954" t="str">
        <f>"Tõnni parim jõulukink"</f>
        <v>Tõnni parim jõulukink</v>
      </c>
      <c r="J954" t="str">
        <f>"Kass, Kristiina"</f>
        <v>Kass, Kristiina</v>
      </c>
      <c r="K954" t="str">
        <f>"Sinisukk, Tallinn"</f>
        <v>Sinisukk, Tallinn</v>
      </c>
      <c r="L954" t="str">
        <f>""</f>
        <v/>
      </c>
      <c r="M954" t="str">
        <f>"9789949343386"</f>
        <v>9789949343386</v>
      </c>
    </row>
    <row r="955" spans="1:13" ht="15">
      <c r="A955" t="s">
        <v>229</v>
      </c>
      <c r="B955" t="str">
        <f>"13054"</f>
        <v>13054</v>
      </c>
      <c r="C955" t="str">
        <f>"2012"</f>
        <v>2012</v>
      </c>
      <c r="D955" t="str">
        <f>"Dora, Dora"</f>
        <v>Dora, Dora</v>
      </c>
      <c r="E955" t="str">
        <f t="shared" si="80"/>
        <v>viro</v>
      </c>
      <c r="F955" t="str">
        <f>"romaanid; proosa"</f>
        <v>romaanid; proosa</v>
      </c>
      <c r="G955" t="str">
        <f>"  täiskasvanud"</f>
        <v xml:space="preserve">  täiskasvanud</v>
      </c>
      <c r="H955" t="str">
        <f t="shared" si="82"/>
        <v>2015</v>
      </c>
      <c r="I955" t="str">
        <f>"Dora Dora"</f>
        <v>Dora Dora</v>
      </c>
      <c r="J955" t="str">
        <f>"Saluri, Piret"</f>
        <v>Saluri, Piret</v>
      </c>
      <c r="K955" t="str">
        <f>"Varrak, Tallinn"</f>
        <v>Varrak, Tallinn</v>
      </c>
      <c r="L955" t="str">
        <f>""</f>
        <v/>
      </c>
      <c r="M955" t="str">
        <f>"978-9985-3-3269-6"</f>
        <v>978-9985-3-3269-6</v>
      </c>
    </row>
    <row r="956" spans="1:13" ht="15">
      <c r="A956" t="s">
        <v>239</v>
      </c>
      <c r="B956" t="str">
        <f>"14916"</f>
        <v>14916</v>
      </c>
      <c r="C956" t="str">
        <f>"2010"</f>
        <v>2010</v>
      </c>
      <c r="D956" t="str">
        <f>"Päällystakki"</f>
        <v>Päällystakki</v>
      </c>
      <c r="E956" t="str">
        <f t="shared" si="80"/>
        <v>viro</v>
      </c>
      <c r="F956" t="str">
        <f>"sarjakuvat"</f>
        <v>sarjakuvat</v>
      </c>
      <c r="G956" t="str">
        <f>"  täiskasvanud"</f>
        <v xml:space="preserve">  täiskasvanud</v>
      </c>
      <c r="H956" t="str">
        <f t="shared" si="82"/>
        <v>2015</v>
      </c>
      <c r="I956" t="str">
        <f>"Sinel"</f>
        <v>Sinel</v>
      </c>
      <c r="J956" t="str">
        <f>"Künnap, Asko, Laaniste, Mari, Laus, Ivar, Meos, Aivar"</f>
        <v>Künnap, Asko, Laaniste, Mari, Laus, Ivar, Meos, Aivar</v>
      </c>
      <c r="K956" t="str">
        <f>"Eesti Koomiksiselts, Tallinn"</f>
        <v>Eesti Koomiksiselts, Tallinn</v>
      </c>
      <c r="L956" t="str">
        <f>""</f>
        <v/>
      </c>
      <c r="M956" t="str">
        <f>"9789949381906"</f>
        <v>9789949381906</v>
      </c>
    </row>
    <row r="957" spans="1:13" ht="15">
      <c r="A957" t="s">
        <v>256</v>
      </c>
      <c r="B957" t="str">
        <f>"13369"</f>
        <v>13369</v>
      </c>
      <c r="C957" t="str">
        <f>"2007"</f>
        <v>2007</v>
      </c>
      <c r="D957" t="str">
        <f>"Joulutarina : romaani"</f>
        <v>Joulutarina : romaani</v>
      </c>
      <c r="E957" t="str">
        <f t="shared" si="80"/>
        <v>viro</v>
      </c>
      <c r="F957" t="str">
        <f>"romaanid; proosa"</f>
        <v>romaanid; proosa</v>
      </c>
      <c r="G957" t="str">
        <f>" lapsed ja noored"</f>
        <v xml:space="preserve"> lapsed ja noored</v>
      </c>
      <c r="H957" t="str">
        <f t="shared" si="82"/>
        <v>2015</v>
      </c>
      <c r="I957" t="str">
        <f>"Jõululugu"</f>
        <v>Jõululugu</v>
      </c>
      <c r="J957" t="str">
        <f>"Kass, Kristiina"</f>
        <v>Kass, Kristiina</v>
      </c>
      <c r="K957" t="str">
        <f>"Sinisukk, Tallinn"</f>
        <v>Sinisukk, Tallinn</v>
      </c>
      <c r="L957" t="str">
        <f>""</f>
        <v/>
      </c>
      <c r="M957" t="str">
        <f>"978-9949-34-370-6"</f>
        <v>978-9949-34-370-6</v>
      </c>
    </row>
    <row r="958" spans="1:13" ht="15">
      <c r="A958" t="s">
        <v>269</v>
      </c>
      <c r="B958" t="str">
        <f>"13117"</f>
        <v>13117</v>
      </c>
      <c r="C958" t="str">
        <f>"2013"</f>
        <v>2013</v>
      </c>
      <c r="D958" t="str">
        <f>"Kuolema Ehtoolehdossa"</f>
        <v>Kuolema Ehtoolehdossa</v>
      </c>
      <c r="E958" t="str">
        <f t="shared" si="80"/>
        <v>viro</v>
      </c>
      <c r="F958" t="str">
        <f>"romaanid; proosa"</f>
        <v>romaanid; proosa</v>
      </c>
      <c r="G958" t="str">
        <f>"  täiskasvanud"</f>
        <v xml:space="preserve">  täiskasvanud</v>
      </c>
      <c r="H958" t="str">
        <f t="shared" si="82"/>
        <v>2015</v>
      </c>
      <c r="I958" t="str">
        <f>"Surm Õhtuhiies"</f>
        <v>Surm Õhtuhiies</v>
      </c>
      <c r="J958" t="str">
        <f>"Kurmiste, Katrin"</f>
        <v>Kurmiste, Katrin</v>
      </c>
      <c r="K958" t="str">
        <f>"Varrak, Tallinn"</f>
        <v>Varrak, Tallinn</v>
      </c>
      <c r="L958" t="str">
        <f>""</f>
        <v/>
      </c>
      <c r="M958" t="str">
        <f>"9789985333280"</f>
        <v>9789985333280</v>
      </c>
    </row>
    <row r="959" spans="1:13" ht="15">
      <c r="A959" t="s">
        <v>277</v>
      </c>
      <c r="B959" t="str">
        <f>"13968"</f>
        <v>13968</v>
      </c>
      <c r="C959" t="str">
        <f>"2012"</f>
        <v>2012</v>
      </c>
      <c r="D959" t="str">
        <f>"Jäätelökauppias"</f>
        <v>Jäätelökauppias</v>
      </c>
      <c r="E959" t="str">
        <f t="shared" si="80"/>
        <v>viro</v>
      </c>
      <c r="F959" t="str">
        <f>"romaanid; proosa"</f>
        <v>romaanid; proosa</v>
      </c>
      <c r="G959" t="str">
        <f>"  täiskasvanud"</f>
        <v xml:space="preserve">  täiskasvanud</v>
      </c>
      <c r="H959" t="str">
        <f t="shared" si="82"/>
        <v>2015</v>
      </c>
      <c r="I959" t="str">
        <f>"Jäätisemüüja"</f>
        <v>Jäätisemüüja</v>
      </c>
      <c r="J959" t="str">
        <f>"Jaanits, Kadri"</f>
        <v>Jaanits, Kadri</v>
      </c>
      <c r="K959" t="str">
        <f>"Varrak, Tallinn"</f>
        <v>Varrak, Tallinn</v>
      </c>
      <c r="L959" t="str">
        <f>""</f>
        <v/>
      </c>
      <c r="M959" t="str">
        <f>"978-9985-3-3533-8"</f>
        <v>978-9985-3-3533-8</v>
      </c>
    </row>
    <row r="960" spans="1:13" ht="15">
      <c r="A960" t="s">
        <v>285</v>
      </c>
      <c r="B960" t="str">
        <f>"14917"</f>
        <v>14917</v>
      </c>
      <c r="C960" t="str">
        <f>"2013"</f>
        <v>2013</v>
      </c>
      <c r="D960" t="str">
        <f>"Nymfit. Montpellierin legenda"</f>
        <v>Nymfit. Montpellierin legenda</v>
      </c>
      <c r="E960" t="str">
        <f t="shared" si="80"/>
        <v>viro</v>
      </c>
      <c r="F960" t="str">
        <f>"romaanid; proosa"</f>
        <v>romaanid; proosa</v>
      </c>
      <c r="G960" t="str">
        <f>"  täiskasvanud"</f>
        <v xml:space="preserve">  täiskasvanud</v>
      </c>
      <c r="H960" t="str">
        <f t="shared" si="82"/>
        <v>2015</v>
      </c>
      <c r="I960" t="str">
        <f>"Nümfid. Montpellier’ legend"</f>
        <v>Nümfid. Montpellier’ legend</v>
      </c>
      <c r="J960" t="str">
        <f>"Banhard, Evelin"</f>
        <v>Banhard, Evelin</v>
      </c>
      <c r="K960" t="str">
        <f>"Varrak, Tallinn"</f>
        <v>Varrak, Tallinn</v>
      </c>
      <c r="L960" t="str">
        <f>""</f>
        <v/>
      </c>
      <c r="M960" t="str">
        <f>"9789985334676"</f>
        <v>9789985334676</v>
      </c>
    </row>
    <row r="961" spans="1:13" ht="15">
      <c r="A961" t="s">
        <v>321</v>
      </c>
      <c r="B961" t="str">
        <f>"14918"</f>
        <v>14918</v>
      </c>
      <c r="C961" t="str">
        <f>"1973"</f>
        <v>1973</v>
      </c>
      <c r="D961" t="str">
        <f>"Herra Huu"</f>
        <v>Herra Huu</v>
      </c>
      <c r="E961" t="str">
        <f t="shared" si="80"/>
        <v>viro</v>
      </c>
      <c r="F961" t="str">
        <f>"proosa"</f>
        <v>proosa</v>
      </c>
      <c r="G961" t="str">
        <f>" lapsed ja noored"</f>
        <v xml:space="preserve"> lapsed ja noored</v>
      </c>
      <c r="H961" t="str">
        <f t="shared" si="82"/>
        <v>2015</v>
      </c>
      <c r="I961" t="str">
        <f>"Härra Huu"</f>
        <v>Härra Huu</v>
      </c>
      <c r="J961" t="str">
        <f>"Niit, Ellen, Saluri, Piret"</f>
        <v>Niit, Ellen, Saluri, Piret</v>
      </c>
      <c r="K961" t="str">
        <f>"Pegasus, Tallinn"</f>
        <v>Pegasus, Tallinn</v>
      </c>
      <c r="L961" t="str">
        <f>"3. p."</f>
        <v>3. p.</v>
      </c>
      <c r="M961" t="str">
        <f>"9789949550555"</f>
        <v>9789949550555</v>
      </c>
    </row>
    <row r="962" spans="1:13" ht="15">
      <c r="A962" t="s">
        <v>323</v>
      </c>
      <c r="B962" t="str">
        <f>"13440"</f>
        <v>13440</v>
      </c>
      <c r="C962" t="str">
        <f>"2013"</f>
        <v>2013</v>
      </c>
      <c r="D962" t="str">
        <f>"Intiaani"</f>
        <v>Intiaani</v>
      </c>
      <c r="E962" t="str">
        <f t="shared" si="80"/>
        <v>viro</v>
      </c>
      <c r="F962" t="str">
        <f>"romaanid; põnevus- ja krimikirjandus; proosa"</f>
        <v>romaanid; põnevus- ja krimikirjandus; proosa</v>
      </c>
      <c r="G962" t="str">
        <f>"  täiskasvanud"</f>
        <v xml:space="preserve">  täiskasvanud</v>
      </c>
      <c r="H962" t="str">
        <f t="shared" si="82"/>
        <v>2015</v>
      </c>
      <c r="I962" t="str">
        <f>"Indiaanlane"</f>
        <v>Indiaanlane</v>
      </c>
      <c r="J962" t="str">
        <f>"Ringeveld, Katrin"</f>
        <v>Ringeveld, Katrin</v>
      </c>
      <c r="K962" t="str">
        <f>"Eesti Raamat, Tallinn"</f>
        <v>Eesti Raamat, Tallinn</v>
      </c>
      <c r="L962" t="str">
        <f>""</f>
        <v/>
      </c>
      <c r="M962" t="str">
        <f>"978-9949-567-18-8"</f>
        <v>978-9949-567-18-8</v>
      </c>
    </row>
    <row r="963" spans="1:13" ht="15">
      <c r="A963" t="s">
        <v>324</v>
      </c>
      <c r="B963" t="str">
        <f>"14919"</f>
        <v>14919</v>
      </c>
      <c r="C963" t="str">
        <f>"2008"</f>
        <v>2008</v>
      </c>
      <c r="D963" t="str">
        <f>"Kuolevainen : (runoja)"</f>
        <v>Kuolevainen : (runoja)</v>
      </c>
      <c r="E963" t="str">
        <f t="shared" si="80"/>
        <v>viro</v>
      </c>
      <c r="F963" t="str">
        <f>"luule, lüürika"</f>
        <v>luule, lüürika</v>
      </c>
      <c r="G963" t="str">
        <f>"  täiskasvanud"</f>
        <v xml:space="preserve">  täiskasvanud</v>
      </c>
      <c r="H963" t="str">
        <f t="shared" si="82"/>
        <v>2015</v>
      </c>
      <c r="I963" t="str">
        <f>"Surelik"</f>
        <v>Surelik</v>
      </c>
      <c r="J963" t="str">
        <f>"Eelmaa, Taavi"</f>
        <v>Eelmaa, Taavi</v>
      </c>
      <c r="K963" t="str">
        <f>"ZA/UM, Tallinn"</f>
        <v>ZA/UM, Tallinn</v>
      </c>
      <c r="L963" t="str">
        <f>""</f>
        <v/>
      </c>
      <c r="M963" t="str">
        <f>"9789949338443"</f>
        <v>9789949338443</v>
      </c>
    </row>
    <row r="964" spans="1:13" ht="15">
      <c r="A964" t="s">
        <v>342</v>
      </c>
      <c r="B964" t="str">
        <f>"14917"</f>
        <v>14917</v>
      </c>
      <c r="C964" t="str">
        <f>"2013"</f>
        <v>2013</v>
      </c>
      <c r="D964" t="str">
        <f>"Nymfit. Montpellierin legenda"</f>
        <v>Nymfit. Montpellierin legenda</v>
      </c>
      <c r="E964" t="str">
        <f t="shared" si="80"/>
        <v>viro</v>
      </c>
      <c r="F964" t="str">
        <f>"romaanid; proosa"</f>
        <v>romaanid; proosa</v>
      </c>
      <c r="G964" t="str">
        <f>"  täiskasvanud"</f>
        <v xml:space="preserve">  täiskasvanud</v>
      </c>
      <c r="H964" t="str">
        <f t="shared" si="82"/>
        <v>2015</v>
      </c>
      <c r="I964" t="str">
        <f>"Nümfid. Montpellier’ legend"</f>
        <v>Nümfid. Montpellier’ legend</v>
      </c>
      <c r="J964" t="str">
        <f>"Banhard, Evelin"</f>
        <v>Banhard, Evelin</v>
      </c>
      <c r="K964" t="str">
        <f>"Varrak, Tallinn"</f>
        <v>Varrak, Tallinn</v>
      </c>
      <c r="L964" t="str">
        <f>""</f>
        <v/>
      </c>
      <c r="M964" t="str">
        <f>"9789985334676"</f>
        <v>9789985334676</v>
      </c>
    </row>
    <row r="965" spans="1:13" ht="15">
      <c r="A965" t="s">
        <v>350</v>
      </c>
      <c r="B965" t="str">
        <f>"13137"</f>
        <v>13137</v>
      </c>
      <c r="C965" t="str">
        <f>"2013"</f>
        <v>2013</v>
      </c>
      <c r="D965" t="str">
        <f>"Mahdoton menestys : kasvun paikkana Nokia"</f>
        <v>Mahdoton menestys : kasvun paikkana Nokia</v>
      </c>
      <c r="E965" t="str">
        <f t="shared" si="80"/>
        <v>viro</v>
      </c>
      <c r="F965" t="str">
        <f>""</f>
        <v/>
      </c>
      <c r="G965" t="str">
        <f>"  täiskasvanud"</f>
        <v xml:space="preserve">  täiskasvanud</v>
      </c>
      <c r="H965" t="str">
        <f t="shared" si="82"/>
        <v>2015</v>
      </c>
      <c r="I965" t="str">
        <f>"Võimatu edu"</f>
        <v>Võimatu edu</v>
      </c>
      <c r="J965" t="str">
        <f>"Jaanits, Kadri"</f>
        <v>Jaanits, Kadri</v>
      </c>
      <c r="K965" t="str">
        <f>"Äripäev, Tallinn"</f>
        <v>Äripäev, Tallinn</v>
      </c>
      <c r="L965" t="str">
        <f>""</f>
        <v/>
      </c>
      <c r="M965" t="str">
        <f>"978-9949-560-01-1"</f>
        <v>978-9949-560-01-1</v>
      </c>
    </row>
    <row r="966" spans="1:13" ht="15">
      <c r="A966" t="s">
        <v>359</v>
      </c>
      <c r="B966" t="str">
        <f>"13357"</f>
        <v>13357</v>
      </c>
      <c r="C966" t="str">
        <f>"1937"</f>
        <v>1937</v>
      </c>
      <c r="D966" t="str">
        <f>"Lähtö ja loitsu : kirja suuresta levottomuudesta"</f>
        <v>Lähtö ja loitsu : kirja suuresta levottomuudesta</v>
      </c>
      <c r="E966" t="str">
        <f aca="true" t="shared" si="83" ref="E966:E1006">"viro"</f>
        <v>viro</v>
      </c>
      <c r="F966" t="str">
        <f>"romaanid; proosa"</f>
        <v>romaanid; proosa</v>
      </c>
      <c r="G966" t="str">
        <f>"  täiskasvanud"</f>
        <v xml:space="preserve">  täiskasvanud</v>
      </c>
      <c r="H966" t="str">
        <f t="shared" si="82"/>
        <v>2015</v>
      </c>
      <c r="I966" t="str">
        <f>"Minek ja loits"</f>
        <v>Minek ja loits</v>
      </c>
      <c r="J966" t="str">
        <f>"Saluri, Piret"</f>
        <v>Saluri, Piret</v>
      </c>
      <c r="K966" t="str">
        <f>"Eesti Keele Sihtasutus, Tallinn"</f>
        <v>Eesti Keele Sihtasutus, Tallinn</v>
      </c>
      <c r="L966" t="str">
        <f>""</f>
        <v/>
      </c>
      <c r="M966" t="str">
        <f>"978-9985-79-645-0"</f>
        <v>978-9985-79-645-0</v>
      </c>
    </row>
    <row r="967" spans="1:13" ht="15">
      <c r="A967" t="s">
        <v>367</v>
      </c>
      <c r="B967" t="str">
        <f>"13967"</f>
        <v>13967</v>
      </c>
      <c r="C967" t="str">
        <f>"2004"</f>
        <v>2004</v>
      </c>
      <c r="D967" t="str">
        <f>"Ella ja Paterock"</f>
        <v>Ella ja Paterock</v>
      </c>
      <c r="E967" t="str">
        <f t="shared" si="83"/>
        <v>viro</v>
      </c>
      <c r="F967" t="str">
        <f>"romaanid; proosa"</f>
        <v>romaanid; proosa</v>
      </c>
      <c r="G967" t="str">
        <f>" lapsed ja noored"</f>
        <v xml:space="preserve"> lapsed ja noored</v>
      </c>
      <c r="H967" t="str">
        <f t="shared" si="82"/>
        <v>2015</v>
      </c>
      <c r="I967" t="str">
        <f>"Ella ja rokkstaar"</f>
        <v>Ella ja rokkstaar</v>
      </c>
      <c r="J967" t="str">
        <f>"Arder, Elisabeth"</f>
        <v>Arder, Elisabeth</v>
      </c>
      <c r="K967" t="str">
        <f>"Ajakirjade Kirjastus, Tallinn"</f>
        <v>Ajakirjade Kirjastus, Tallinn</v>
      </c>
      <c r="L967" t="str">
        <f>""</f>
        <v/>
      </c>
      <c r="M967" t="str">
        <f>"978-9949-39-135-6"</f>
        <v>978-9949-39-135-6</v>
      </c>
    </row>
    <row r="968" spans="1:13" ht="15">
      <c r="A968" t="s">
        <v>367</v>
      </c>
      <c r="B968" t="str">
        <f>"13977"</f>
        <v>13977</v>
      </c>
      <c r="C968" t="str">
        <f>"2003"</f>
        <v>2003</v>
      </c>
      <c r="D968" t="str">
        <f>"Ella Lapissa"</f>
        <v>Ella Lapissa</v>
      </c>
      <c r="E968" t="str">
        <f t="shared" si="83"/>
        <v>viro</v>
      </c>
      <c r="F968" t="str">
        <f>"romaanid; proosa"</f>
        <v>romaanid; proosa</v>
      </c>
      <c r="G968" t="str">
        <f>" lapsed ja noored"</f>
        <v xml:space="preserve"> lapsed ja noored</v>
      </c>
      <c r="H968" t="str">
        <f t="shared" si="82"/>
        <v>2015</v>
      </c>
      <c r="I968" t="str">
        <f>"Ella Lapimaal"</f>
        <v>Ella Lapimaal</v>
      </c>
      <c r="J968" t="str">
        <f>"Arder, Elisabeth"</f>
        <v>Arder, Elisabeth</v>
      </c>
      <c r="K968" t="str">
        <f>"Ajakirjade Kirjastus, Tallinn"</f>
        <v>Ajakirjade Kirjastus, Tallinn</v>
      </c>
      <c r="L968" t="str">
        <f>""</f>
        <v/>
      </c>
      <c r="M968" t="str">
        <f>"978-9949-39-076-2"</f>
        <v>978-9949-39-076-2</v>
      </c>
    </row>
    <row r="969" spans="1:13" ht="15">
      <c r="A969" t="s">
        <v>368</v>
      </c>
      <c r="B969" t="str">
        <f>"13445"</f>
        <v>13445</v>
      </c>
      <c r="C969" t="str">
        <f>"2014"</f>
        <v>2014</v>
      </c>
      <c r="D969" t="str">
        <f>"Saunakeittokirja"</f>
        <v>Saunakeittokirja</v>
      </c>
      <c r="E969" t="str">
        <f t="shared" si="83"/>
        <v>viro</v>
      </c>
      <c r="F969" t="str">
        <f>""</f>
        <v/>
      </c>
      <c r="G969" t="str">
        <f>"  täiskasvanud"</f>
        <v xml:space="preserve">  täiskasvanud</v>
      </c>
      <c r="H969" t="str">
        <f t="shared" si="82"/>
        <v>2015</v>
      </c>
      <c r="I969" t="str">
        <f>"Saunakokaraamat"</f>
        <v>Saunakokaraamat</v>
      </c>
      <c r="J969" t="str">
        <f>"Tamm, Ann"</f>
        <v>Tamm, Ann</v>
      </c>
      <c r="K969" t="str">
        <f>"Pegasus, Tallinn"</f>
        <v>Pegasus, Tallinn</v>
      </c>
      <c r="L969" t="str">
        <f>""</f>
        <v/>
      </c>
      <c r="M969" t="str">
        <f>"9789949572090"</f>
        <v>9789949572090</v>
      </c>
    </row>
    <row r="970" spans="1:13" ht="15">
      <c r="A970" t="s">
        <v>370</v>
      </c>
      <c r="B970" t="str">
        <f>"13100"</f>
        <v>13100</v>
      </c>
      <c r="C970" t="str">
        <f>"2015"</f>
        <v>2015</v>
      </c>
      <c r="D970" t="str">
        <f>"Kohtu 4 : Suomen Tallinnan-lähetystön historia"</f>
        <v>Kohtu 4 : Suomen Tallinnan-lähetystön historia</v>
      </c>
      <c r="E970" t="str">
        <f t="shared" si="83"/>
        <v>viro</v>
      </c>
      <c r="F970" t="str">
        <f>""</f>
        <v/>
      </c>
      <c r="G970" t="str">
        <f>"  täiskasvanud"</f>
        <v xml:space="preserve">  täiskasvanud</v>
      </c>
      <c r="H970" t="str">
        <f t="shared" si="82"/>
        <v>2015</v>
      </c>
      <c r="I970" t="str">
        <f>"Kohtu tn 4"</f>
        <v>Kohtu tn 4</v>
      </c>
      <c r="J970" t="str">
        <f>"Raig, Kulle, Saluri, Piret"</f>
        <v>Raig, Kulle, Saluri, Piret</v>
      </c>
      <c r="K970" t="str">
        <f>"Varrak, Tallinn"</f>
        <v>Varrak, Tallinn</v>
      </c>
      <c r="L970" t="str">
        <f>""</f>
        <v/>
      </c>
      <c r="M970" t="str">
        <f>"978-9985-3-3319-8"</f>
        <v>978-9985-3-3319-8</v>
      </c>
    </row>
    <row r="971" spans="1:13" ht="15">
      <c r="A971" t="s">
        <v>378</v>
      </c>
      <c r="B971" t="str">
        <f>"19520"</f>
        <v>19520</v>
      </c>
      <c r="C971" t="str">
        <f>"2015"</f>
        <v>2015</v>
      </c>
      <c r="D971" t="str">
        <f>"Sirkuskoirat Roope ja Rops"</f>
        <v>Sirkuskoirat Roope ja Rops</v>
      </c>
      <c r="E971" t="str">
        <f t="shared" si="83"/>
        <v>viro</v>
      </c>
      <c r="F971" t="str">
        <f>"pildiraamatud"</f>
        <v>pildiraamatud</v>
      </c>
      <c r="G971" t="str">
        <f>" lapsed ja noored"</f>
        <v xml:space="preserve"> lapsed ja noored</v>
      </c>
      <c r="H971" t="str">
        <f t="shared" si="82"/>
        <v>2015</v>
      </c>
      <c r="I971" t="str">
        <f>"Tsirkusekoerad Roki ja Rolli"</f>
        <v>Tsirkusekoerad Roki ja Rolli</v>
      </c>
      <c r="J971" t="str">
        <f>"Laansoo-Hämarik, Helen"</f>
        <v>Laansoo-Hämarik, Helen</v>
      </c>
      <c r="K971" t="str">
        <f>"WickWick, Helsinki"</f>
        <v>WickWick, Helsinki</v>
      </c>
      <c r="L971" t="str">
        <f>""</f>
        <v/>
      </c>
      <c r="M971" t="str">
        <f>"978-952-325-096-3"</f>
        <v>978-952-325-096-3</v>
      </c>
    </row>
    <row r="972" spans="1:13" ht="15">
      <c r="A972" t="s">
        <v>416</v>
      </c>
      <c r="B972" t="str">
        <f>"15058"</f>
        <v>15058</v>
      </c>
      <c r="C972" t="str">
        <f>""</f>
        <v/>
      </c>
      <c r="D972" t="str">
        <f>""</f>
        <v/>
      </c>
      <c r="E972" t="str">
        <f t="shared" si="83"/>
        <v>viro</v>
      </c>
      <c r="F972" t="str">
        <f>"luule, lüürika"</f>
        <v>luule, lüürika</v>
      </c>
      <c r="G972" t="str">
        <f>"  täiskasvanud"</f>
        <v xml:space="preserve">  täiskasvanud</v>
      </c>
      <c r="H972" t="str">
        <f t="shared" si="82"/>
        <v>2015</v>
      </c>
      <c r="I972" t="str">
        <f>"Las ma ümisen"</f>
        <v>Las ma ümisen</v>
      </c>
      <c r="J972" t="str">
        <f>"Maran, Timo"</f>
        <v>Maran, Timo</v>
      </c>
      <c r="K972" t="str">
        <f>"Allikaäärne, [Lelle]"</f>
        <v>Allikaäärne, [Lelle]</v>
      </c>
      <c r="L972" t="str">
        <f>""</f>
        <v/>
      </c>
      <c r="M972" t="str">
        <f>"9789949951376"</f>
        <v>9789949951376</v>
      </c>
    </row>
    <row r="973" spans="1:13" ht="15">
      <c r="A973" t="s">
        <v>454</v>
      </c>
      <c r="B973" t="str">
        <f>"13137"</f>
        <v>13137</v>
      </c>
      <c r="C973" t="str">
        <f>"2013"</f>
        <v>2013</v>
      </c>
      <c r="D973" t="str">
        <f>"Mahdoton menestys : kasvun paikkana Nokia"</f>
        <v>Mahdoton menestys : kasvun paikkana Nokia</v>
      </c>
      <c r="E973" t="str">
        <f t="shared" si="83"/>
        <v>viro</v>
      </c>
      <c r="F973" t="str">
        <f>""</f>
        <v/>
      </c>
      <c r="G973" t="str">
        <f>"  täiskasvanud"</f>
        <v xml:space="preserve">  täiskasvanud</v>
      </c>
      <c r="H973" t="str">
        <f t="shared" si="82"/>
        <v>2015</v>
      </c>
      <c r="I973" t="str">
        <f>"Võimatu edu"</f>
        <v>Võimatu edu</v>
      </c>
      <c r="J973" t="str">
        <f>"Jaanits, Kadri"</f>
        <v>Jaanits, Kadri</v>
      </c>
      <c r="K973" t="str">
        <f>"Äripäev, Tallinn"</f>
        <v>Äripäev, Tallinn</v>
      </c>
      <c r="L973" t="str">
        <f>""</f>
        <v/>
      </c>
      <c r="M973" t="str">
        <f>"978-9949-560-01-1"</f>
        <v>978-9949-560-01-1</v>
      </c>
    </row>
    <row r="974" spans="1:13" ht="15">
      <c r="A974" t="s">
        <v>465</v>
      </c>
      <c r="B974" t="str">
        <f>"13947"</f>
        <v>13947</v>
      </c>
      <c r="C974" t="str">
        <f>"2014"</f>
        <v>2014</v>
      </c>
      <c r="D974" t="str">
        <f>"Oma koppa : ympyrä - virkattuja variaatioita"</f>
        <v>Oma koppa : ympyrä - virkattuja variaatioita</v>
      </c>
      <c r="E974" t="str">
        <f t="shared" si="83"/>
        <v>viro</v>
      </c>
      <c r="F974" t="str">
        <f>""</f>
        <v/>
      </c>
      <c r="G974" t="str">
        <f>"  täiskasvanud"</f>
        <v xml:space="preserve">  täiskasvanud</v>
      </c>
      <c r="H974" t="str">
        <f t="shared" si="82"/>
        <v>2015</v>
      </c>
      <c r="I974" t="str">
        <f>"Oma teha"</f>
        <v>Oma teha</v>
      </c>
      <c r="J974" t="str">
        <f>"Tamme, Ann"</f>
        <v>Tamme, Ann</v>
      </c>
      <c r="K974" t="str">
        <f>"Ajakirjade Kirjastus, Tallinn"</f>
        <v>Ajakirjade Kirjastus, Tallinn</v>
      </c>
      <c r="L974" t="str">
        <f>""</f>
        <v/>
      </c>
      <c r="M974" t="str">
        <f>"978-9949-39-124-0"</f>
        <v>978-9949-39-124-0</v>
      </c>
    </row>
    <row r="975" spans="1:13" ht="15">
      <c r="A975" t="s">
        <v>468</v>
      </c>
      <c r="B975" t="str">
        <f>"13199"</f>
        <v>13199</v>
      </c>
      <c r="C975" t="str">
        <f>"2014"</f>
        <v>2014</v>
      </c>
      <c r="D975" t="str">
        <f>"Musta kuin eebenpuu"</f>
        <v>Musta kuin eebenpuu</v>
      </c>
      <c r="E975" t="str">
        <f t="shared" si="83"/>
        <v>viro</v>
      </c>
      <c r="F975" t="str">
        <f>"romaanid; põnevus- ja krimikirjandus; proosa"</f>
        <v>romaanid; põnevus- ja krimikirjandus; proosa</v>
      </c>
      <c r="G975" t="str">
        <f>" lapsed ja noored"</f>
        <v xml:space="preserve"> lapsed ja noored</v>
      </c>
      <c r="H975" t="str">
        <f t="shared" si="82"/>
        <v>2015</v>
      </c>
      <c r="I975" t="str">
        <f>"Must nagu eebenipuu"</f>
        <v>Must nagu eebenipuu</v>
      </c>
      <c r="J975" t="str">
        <f>"Jaanits, Kadri"</f>
        <v>Jaanits, Kadri</v>
      </c>
      <c r="K975" t="str">
        <f>"Pegasus, Tallinn"</f>
        <v>Pegasus, Tallinn</v>
      </c>
      <c r="L975" t="str">
        <f>""</f>
        <v/>
      </c>
      <c r="M975" t="str">
        <f>"9789949550357"</f>
        <v>9789949550357</v>
      </c>
    </row>
    <row r="976" spans="1:13" ht="15">
      <c r="A976" t="s">
        <v>468</v>
      </c>
      <c r="B976" t="str">
        <f>"13198"</f>
        <v>13198</v>
      </c>
      <c r="C976" t="str">
        <f>"2013"</f>
        <v>2013</v>
      </c>
      <c r="D976" t="str">
        <f>"Valkea kuin lumi"</f>
        <v>Valkea kuin lumi</v>
      </c>
      <c r="E976" t="str">
        <f t="shared" si="83"/>
        <v>viro</v>
      </c>
      <c r="F976" t="str">
        <f>"romaanid; põnevus- ja krimikirjandus; proosa"</f>
        <v>romaanid; põnevus- ja krimikirjandus; proosa</v>
      </c>
      <c r="G976" t="str">
        <f>" lapsed ja noored"</f>
        <v xml:space="preserve"> lapsed ja noored</v>
      </c>
      <c r="H976" t="str">
        <f t="shared" si="82"/>
        <v>2015</v>
      </c>
      <c r="I976" t="str">
        <f>"Valge nagu lumi"</f>
        <v>Valge nagu lumi</v>
      </c>
      <c r="J976" t="str">
        <f>"Jaanits, Kadri"</f>
        <v>Jaanits, Kadri</v>
      </c>
      <c r="K976" t="str">
        <f>"Pegasus, Tallinn"</f>
        <v>Pegasus, Tallinn</v>
      </c>
      <c r="L976" t="str">
        <f>""</f>
        <v/>
      </c>
      <c r="M976" t="str">
        <f>"9789949550036"</f>
        <v>9789949550036</v>
      </c>
    </row>
    <row r="977" spans="1:13" ht="15">
      <c r="A977" t="s">
        <v>481</v>
      </c>
      <c r="B977" t="str">
        <f>"13397"</f>
        <v>13397</v>
      </c>
      <c r="C977" t="str">
        <f>"2014"</f>
        <v>2014</v>
      </c>
      <c r="D977" t="str">
        <f>"Kissani Jugoslavia"</f>
        <v>Kissani Jugoslavia</v>
      </c>
      <c r="E977" t="str">
        <f t="shared" si="83"/>
        <v>viro</v>
      </c>
      <c r="F977" t="str">
        <f>"romaanid; proosa"</f>
        <v>romaanid; proosa</v>
      </c>
      <c r="G977" t="str">
        <f>"  täiskasvanud"</f>
        <v xml:space="preserve">  täiskasvanud</v>
      </c>
      <c r="H977" t="str">
        <f t="shared" si="82"/>
        <v>2015</v>
      </c>
      <c r="I977" t="str">
        <f>"Minu kass Jugoslaavia"</f>
        <v>Minu kass Jugoslaavia</v>
      </c>
      <c r="J977" t="str">
        <f>"Orntlich, Anne-Mari"</f>
        <v>Orntlich, Anne-Mari</v>
      </c>
      <c r="K977" t="str">
        <f>"Tänapäev, Tallinn"</f>
        <v>Tänapäev, Tallinn</v>
      </c>
      <c r="L977" t="str">
        <f>""</f>
        <v/>
      </c>
      <c r="M977" t="str">
        <f>"978-9949-27-831-2"</f>
        <v>978-9949-27-831-2</v>
      </c>
    </row>
    <row r="978" spans="1:13" ht="15">
      <c r="A978" t="s">
        <v>557</v>
      </c>
      <c r="B978" t="str">
        <f>"13445"</f>
        <v>13445</v>
      </c>
      <c r="C978" t="str">
        <f>"2014"</f>
        <v>2014</v>
      </c>
      <c r="D978" t="str">
        <f>"Saunakeittokirja"</f>
        <v>Saunakeittokirja</v>
      </c>
      <c r="E978" t="str">
        <f t="shared" si="83"/>
        <v>viro</v>
      </c>
      <c r="F978" t="str">
        <f>""</f>
        <v/>
      </c>
      <c r="G978" t="str">
        <f>"  täiskasvanud"</f>
        <v xml:space="preserve">  täiskasvanud</v>
      </c>
      <c r="H978" t="str">
        <f t="shared" si="82"/>
        <v>2015</v>
      </c>
      <c r="I978" t="str">
        <f>"Saunakokaraamat"</f>
        <v>Saunakokaraamat</v>
      </c>
      <c r="J978" t="str">
        <f>"Tamm, Ann"</f>
        <v>Tamm, Ann</v>
      </c>
      <c r="K978" t="str">
        <f>"Pegasus, Tallinn"</f>
        <v>Pegasus, Tallinn</v>
      </c>
      <c r="L978" t="str">
        <f>""</f>
        <v/>
      </c>
      <c r="M978" t="str">
        <f>"9789949572090"</f>
        <v>9789949572090</v>
      </c>
    </row>
    <row r="979" spans="1:13" ht="15">
      <c r="A979" t="s">
        <v>560</v>
      </c>
      <c r="B979" t="str">
        <f>"15128"</f>
        <v>15128</v>
      </c>
      <c r="C979" t="str">
        <f>"2014"</f>
        <v>2014</v>
      </c>
      <c r="D979" t="str">
        <f>"Juoppohullun päiväkirja. Osa viisi (5). Dokumentti"</f>
        <v>Juoppohullun päiväkirja. Osa viisi (5). Dokumentti</v>
      </c>
      <c r="E979" t="str">
        <f t="shared" si="83"/>
        <v>viro</v>
      </c>
      <c r="F979" t="str">
        <f>"romaanid; proosa"</f>
        <v>romaanid; proosa</v>
      </c>
      <c r="G979" t="str">
        <f>"  täiskasvanud"</f>
        <v xml:space="preserve">  täiskasvanud</v>
      </c>
      <c r="H979" t="str">
        <f t="shared" si="82"/>
        <v>2015</v>
      </c>
      <c r="I979" t="str">
        <f>"Joomahullu päevaraamat. 5, Doku-mentaal"</f>
        <v>Joomahullu päevaraamat. 5, Doku-mentaal</v>
      </c>
      <c r="J979" t="str">
        <f>"Mõisnik, Mihkel"</f>
        <v>Mõisnik, Mihkel</v>
      </c>
      <c r="K979" t="str">
        <f>"Hotger, Tallinn"</f>
        <v>Hotger, Tallinn</v>
      </c>
      <c r="L979" t="str">
        <f>""</f>
        <v/>
      </c>
      <c r="M979" t="str">
        <f>"9789985952634"</f>
        <v>9789985952634</v>
      </c>
    </row>
    <row r="980" spans="1:13" ht="15">
      <c r="A980" t="s">
        <v>10</v>
      </c>
      <c r="B980" t="str">
        <f>"13629"</f>
        <v>13629</v>
      </c>
      <c r="C980" t="str">
        <f>"2015"</f>
        <v>2015</v>
      </c>
      <c r="D980" t="str">
        <f>"Isin ja tyttöjen lettikirja"</f>
        <v>Isin ja tyttöjen lettikirja</v>
      </c>
      <c r="E980" t="str">
        <f t="shared" si="83"/>
        <v>viro</v>
      </c>
      <c r="F980" t="str">
        <f>""</f>
        <v/>
      </c>
      <c r="G980" t="str">
        <f>"  täiskasvanud"</f>
        <v xml:space="preserve">  täiskasvanud</v>
      </c>
      <c r="H980" t="str">
        <f aca="true" t="shared" si="84" ref="H980:H1016">"2016"</f>
        <v>2016</v>
      </c>
      <c r="I980" t="str">
        <f>"Isade ja tütarde patsiraamat"</f>
        <v>Isade ja tütarde patsiraamat</v>
      </c>
      <c r="J980" t="str">
        <f>"Abner, André"</f>
        <v>Abner, André</v>
      </c>
      <c r="K980" t="str">
        <f>"Paljasjalg, Tallinn"</f>
        <v>Paljasjalg, Tallinn</v>
      </c>
      <c r="L980" t="str">
        <f>""</f>
        <v/>
      </c>
      <c r="M980" t="str">
        <f>"9789949810574"</f>
        <v>9789949810574</v>
      </c>
    </row>
    <row r="981" spans="1:13" ht="15">
      <c r="A981" t="s">
        <v>40</v>
      </c>
      <c r="B981" t="str">
        <f>"16987"</f>
        <v>16987</v>
      </c>
      <c r="C981" t="str">
        <f>"2005"</f>
        <v>2005</v>
      </c>
      <c r="D981" t="str">
        <f>"Berg"</f>
        <v>Berg</v>
      </c>
      <c r="E981" t="str">
        <f t="shared" si="83"/>
        <v>viro</v>
      </c>
      <c r="F981" t="str">
        <f>"romaanid; proosa"</f>
        <v>romaanid; proosa</v>
      </c>
      <c r="G981" t="str">
        <f>"  täiskasvanud"</f>
        <v xml:space="preserve">  täiskasvanud</v>
      </c>
      <c r="H981" t="str">
        <f t="shared" si="84"/>
        <v>2016</v>
      </c>
      <c r="I981" t="str">
        <f>"Suve varjud"</f>
        <v>Suve varjud</v>
      </c>
      <c r="J981" t="str">
        <f>"Arnover, Tõnis"</f>
        <v>Arnover, Tõnis</v>
      </c>
      <c r="K981" t="str">
        <f>"Kultuurileht, Tallinn"</f>
        <v>Kultuurileht, Tallinn</v>
      </c>
      <c r="L981" t="str">
        <f>""</f>
        <v/>
      </c>
      <c r="M981" t="str">
        <f>"9771406051118"</f>
        <v>9771406051118</v>
      </c>
    </row>
    <row r="982" spans="1:13" ht="15">
      <c r="A982" t="s">
        <v>97</v>
      </c>
      <c r="B982" t="str">
        <f>"14908"</f>
        <v>14908</v>
      </c>
      <c r="C982" t="str">
        <f>"2016"</f>
        <v>2016</v>
      </c>
      <c r="D982" t="str">
        <f>"Kuka pelkää naamarikoiraa?"</f>
        <v>Kuka pelkää naamarikoiraa?</v>
      </c>
      <c r="E982" t="str">
        <f t="shared" si="83"/>
        <v>viro</v>
      </c>
      <c r="F982" t="str">
        <f>"pildiraamatud"</f>
        <v>pildiraamatud</v>
      </c>
      <c r="G982" t="str">
        <f>" lapsed ja noored"</f>
        <v xml:space="preserve"> lapsed ja noored</v>
      </c>
      <c r="H982" t="str">
        <f t="shared" si="84"/>
        <v>2016</v>
      </c>
      <c r="I982" t="str">
        <f>"Kes kardab maskiga koera?"</f>
        <v>Kes kardab maskiga koera?</v>
      </c>
      <c r="J982" t="str">
        <f>"Jaanits, Kadri"</f>
        <v>Jaanits, Kadri</v>
      </c>
      <c r="K982" t="str">
        <f>"Savukeidas, Turku"</f>
        <v>Savukeidas, Turku</v>
      </c>
      <c r="L982" t="str">
        <f>""</f>
        <v/>
      </c>
      <c r="M982" t="str">
        <f>"9789522681591"</f>
        <v>9789522681591</v>
      </c>
    </row>
    <row r="983" spans="1:13" ht="15">
      <c r="A983" t="s">
        <v>97</v>
      </c>
      <c r="B983" t="str">
        <f>"13424"</f>
        <v>13424</v>
      </c>
      <c r="C983" t="str">
        <f>"2014"</f>
        <v>2014</v>
      </c>
      <c r="D983" t="str">
        <f>"Ötökkämaan tarinat"</f>
        <v>Ötökkämaan tarinat</v>
      </c>
      <c r="E983" t="str">
        <f t="shared" si="83"/>
        <v>viro</v>
      </c>
      <c r="F983" t="str">
        <f>"pildiraamatud; proosa"</f>
        <v>pildiraamatud; proosa</v>
      </c>
      <c r="G983" t="str">
        <f>" lapsed ja noored"</f>
        <v xml:space="preserve"> lapsed ja noored</v>
      </c>
      <c r="H983" t="str">
        <f t="shared" si="84"/>
        <v>2016</v>
      </c>
      <c r="I983" t="str">
        <f>"Mutukamaa lood"</f>
        <v>Mutukamaa lood</v>
      </c>
      <c r="J983" t="str">
        <f>"Jaanits, Kadri"</f>
        <v>Jaanits, Kadri</v>
      </c>
      <c r="K983" t="str">
        <f>"Koolibri, Tallinn"</f>
        <v>Koolibri, Tallinn</v>
      </c>
      <c r="L983" t="str">
        <f>""</f>
        <v/>
      </c>
      <c r="M983" t="str">
        <f>"978-9985-0-3640-2"</f>
        <v>978-9985-0-3640-2</v>
      </c>
    </row>
    <row r="984" spans="1:13" ht="15">
      <c r="A984" t="s">
        <v>115</v>
      </c>
      <c r="B984" t="str">
        <f>"13658"</f>
        <v>13658</v>
      </c>
      <c r="C984" t="str">
        <f>"2010"</f>
        <v>2010</v>
      </c>
      <c r="D984" t="str">
        <f>"Poikakirja"</f>
        <v>Poikakirja</v>
      </c>
      <c r="E984" t="str">
        <f t="shared" si="83"/>
        <v>viro</v>
      </c>
      <c r="F984" t="str">
        <f>"romaanid; proosa"</f>
        <v>romaanid; proosa</v>
      </c>
      <c r="G984" t="str">
        <f>"  täiskasvanud"</f>
        <v xml:space="preserve">  täiskasvanud</v>
      </c>
      <c r="H984" t="str">
        <f t="shared" si="84"/>
        <v>2016</v>
      </c>
      <c r="I984" t="str">
        <f>"Poisiraamat"</f>
        <v>Poisiraamat</v>
      </c>
      <c r="J984" t="str">
        <f>"Saluri, Piret"</f>
        <v>Saluri, Piret</v>
      </c>
      <c r="K984" t="str">
        <f>"Loomingu raamatukogu, Tallinn"</f>
        <v>Loomingu raamatukogu, Tallinn</v>
      </c>
      <c r="L984" t="str">
        <f>""</f>
        <v/>
      </c>
      <c r="M984" t="str">
        <f>"978-9949-563-39-5"</f>
        <v>978-9949-563-39-5</v>
      </c>
    </row>
    <row r="985" spans="1:13" ht="15">
      <c r="A985" t="s">
        <v>121</v>
      </c>
      <c r="B985" t="str">
        <f>"14014"</f>
        <v>14014</v>
      </c>
      <c r="C985" t="str">
        <f>"2013"</f>
        <v>2013</v>
      </c>
      <c r="D985" t="str">
        <f>"Laura"</f>
        <v>Laura</v>
      </c>
      <c r="E985" t="str">
        <f t="shared" si="83"/>
        <v>viro</v>
      </c>
      <c r="F985" t="str">
        <f>"romaanid; põnevus- ja krimikirjandus; proosa"</f>
        <v>romaanid; põnevus- ja krimikirjandus; proosa</v>
      </c>
      <c r="G985" t="str">
        <f>"  täiskasvanud"</f>
        <v xml:space="preserve">  täiskasvanud</v>
      </c>
      <c r="H985" t="str">
        <f t="shared" si="84"/>
        <v>2016</v>
      </c>
      <c r="I985" t="str">
        <f>"Laura"</f>
        <v>Laura</v>
      </c>
      <c r="J985" t="str">
        <f>"Banhard, Evelin"</f>
        <v>Banhard, Evelin</v>
      </c>
      <c r="K985" t="str">
        <f>"Pegasus, Tallinn"</f>
        <v>Pegasus, Tallinn</v>
      </c>
      <c r="L985" t="str">
        <f>""</f>
        <v/>
      </c>
      <c r="M985" t="str">
        <f>"9789949572854"</f>
        <v>9789949572854</v>
      </c>
    </row>
    <row r="986" spans="1:13" ht="15">
      <c r="A986" t="s">
        <v>129</v>
      </c>
      <c r="B986" t="str">
        <f>"13670"</f>
        <v>13670</v>
      </c>
      <c r="C986" t="str">
        <f>"2015"</f>
        <v>2015</v>
      </c>
      <c r="D986" t="str">
        <f>"Kavereita nolla"</f>
        <v>Kavereita nolla</v>
      </c>
      <c r="E986" t="str">
        <f t="shared" si="83"/>
        <v>viro</v>
      </c>
      <c r="F986" t="str">
        <f>""</f>
        <v/>
      </c>
      <c r="G986" t="str">
        <f>"  täiskasvanud"</f>
        <v xml:space="preserve">  täiskasvanud</v>
      </c>
      <c r="H986" t="str">
        <f t="shared" si="84"/>
        <v>2016</v>
      </c>
      <c r="I986" t="str">
        <f>"Sõpradeta elu"</f>
        <v>Sõpradeta elu</v>
      </c>
      <c r="J986" t="str">
        <f>"Leino, Mare"</f>
        <v>Leino, Mare</v>
      </c>
      <c r="K986" t="str">
        <f>"Koolibri, Tallinn"</f>
        <v>Koolibri, Tallinn</v>
      </c>
      <c r="L986" t="str">
        <f>""</f>
        <v/>
      </c>
      <c r="M986" t="str">
        <f>"978-9985-0-3774-4"</f>
        <v>978-9985-0-3774-4</v>
      </c>
    </row>
    <row r="987" spans="1:13" ht="15">
      <c r="A987" t="s">
        <v>173</v>
      </c>
      <c r="B987" t="str">
        <f>"13517"</f>
        <v>13517</v>
      </c>
      <c r="C987" t="str">
        <f>"2015"</f>
        <v>2015</v>
      </c>
      <c r="D987" t="str">
        <f>"Yöperhonen"</f>
        <v>Yöperhonen</v>
      </c>
      <c r="E987" t="str">
        <f t="shared" si="83"/>
        <v>viro</v>
      </c>
      <c r="F987" t="str">
        <f>"romaanid; proosa"</f>
        <v>romaanid; proosa</v>
      </c>
      <c r="G987" t="str">
        <f>"  täiskasvanud"</f>
        <v xml:space="preserve">  täiskasvanud</v>
      </c>
      <c r="H987" t="str">
        <f t="shared" si="84"/>
        <v>2016</v>
      </c>
      <c r="I987" t="str">
        <f>"Ööliblikas"</f>
        <v>Ööliblikas</v>
      </c>
      <c r="J987" t="str">
        <f>"Jaanits, Kadri"</f>
        <v>Jaanits, Kadri</v>
      </c>
      <c r="K987" t="str">
        <f>"Koolibri, Tallinn"</f>
        <v>Koolibri, Tallinn</v>
      </c>
      <c r="L987" t="str">
        <f>""</f>
        <v/>
      </c>
      <c r="M987" t="str">
        <f>"978-9985-0-3719-5"</f>
        <v>978-9985-0-3719-5</v>
      </c>
    </row>
    <row r="988" spans="1:13" ht="15">
      <c r="A988" t="s">
        <v>186</v>
      </c>
      <c r="B988" t="str">
        <f>"13624"</f>
        <v>13624</v>
      </c>
      <c r="C988" t="str">
        <f>"2013"</f>
        <v>2013</v>
      </c>
      <c r="D988" t="str">
        <f>"Murtuneet mielet"</f>
        <v>Murtuneet mielet</v>
      </c>
      <c r="E988" t="str">
        <f t="shared" si="83"/>
        <v>viro</v>
      </c>
      <c r="F988" t="str">
        <f>""</f>
        <v/>
      </c>
      <c r="G988" t="str">
        <f>"  täiskasvanud"</f>
        <v xml:space="preserve">  täiskasvanud</v>
      </c>
      <c r="H988" t="str">
        <f t="shared" si="84"/>
        <v>2016</v>
      </c>
      <c r="I988" t="str">
        <f>"Murdunud meeled"</f>
        <v>Murdunud meeled</v>
      </c>
      <c r="J988" t="str">
        <f>"Kaaber, Ene"</f>
        <v>Kaaber, Ene</v>
      </c>
      <c r="K988" t="str">
        <f>"Varrak, Tallinn"</f>
        <v>Varrak, Tallinn</v>
      </c>
      <c r="L988" t="str">
        <f>""</f>
        <v/>
      </c>
      <c r="M988" t="str">
        <f>"978-9985-3-3341-9"</f>
        <v>978-9985-3-3341-9</v>
      </c>
    </row>
    <row r="989" spans="1:13" ht="15">
      <c r="A989" t="s">
        <v>217</v>
      </c>
      <c r="B989" t="str">
        <f>"14911"</f>
        <v>14911</v>
      </c>
      <c r="C989" t="str">
        <f>"2014"</f>
        <v>2014</v>
      </c>
      <c r="D989" t="str">
        <f>"Hauska eläinkirja"</f>
        <v>Hauska eläinkirja</v>
      </c>
      <c r="E989" t="str">
        <f t="shared" si="83"/>
        <v>viro</v>
      </c>
      <c r="F989" t="str">
        <f>"pildiraamatud"</f>
        <v>pildiraamatud</v>
      </c>
      <c r="G989" t="str">
        <f>" lapsed ja noored"</f>
        <v xml:space="preserve"> lapsed ja noored</v>
      </c>
      <c r="H989" t="str">
        <f t="shared" si="84"/>
        <v>2016</v>
      </c>
      <c r="I989" t="str">
        <f>"Lõbus loomaraamat"</f>
        <v>Lõbus loomaraamat</v>
      </c>
      <c r="J989" t="str">
        <f>"Kass, Kristiina"</f>
        <v>Kass, Kristiina</v>
      </c>
      <c r="K989" t="str">
        <f>"Sinisukk, Tallinn"</f>
        <v>Sinisukk, Tallinn</v>
      </c>
      <c r="L989" t="str">
        <f>""</f>
        <v/>
      </c>
      <c r="M989" t="str">
        <f>"9789949343652"</f>
        <v>9789949343652</v>
      </c>
    </row>
    <row r="990" spans="1:13" ht="15">
      <c r="A990" t="s">
        <v>217</v>
      </c>
      <c r="B990" t="str">
        <f>"13996"</f>
        <v>13996</v>
      </c>
      <c r="C990" t="str">
        <f>"2015"</f>
        <v>2015</v>
      </c>
      <c r="D990" t="str">
        <f>"Kesä Koiramäessä"</f>
        <v>Kesä Koiramäessä</v>
      </c>
      <c r="E990" t="str">
        <f t="shared" si="83"/>
        <v>viro</v>
      </c>
      <c r="F990" t="str">
        <f>"pildiraamatud"</f>
        <v>pildiraamatud</v>
      </c>
      <c r="G990" t="str">
        <f>" lapsed ja noored"</f>
        <v xml:space="preserve"> lapsed ja noored</v>
      </c>
      <c r="H990" t="str">
        <f t="shared" si="84"/>
        <v>2016</v>
      </c>
      <c r="I990" t="str">
        <f>"Suvi Koeramäel"</f>
        <v>Suvi Koeramäel</v>
      </c>
      <c r="J990" t="str">
        <f>"Kass, Kristiina"</f>
        <v>Kass, Kristiina</v>
      </c>
      <c r="K990" t="str">
        <f>"Sinisukk, Tallinn"</f>
        <v>Sinisukk, Tallinn</v>
      </c>
      <c r="L990" t="str">
        <f>""</f>
        <v/>
      </c>
      <c r="M990" t="str">
        <f>"9789949344499"</f>
        <v>9789949344499</v>
      </c>
    </row>
    <row r="991" spans="1:13" ht="15">
      <c r="A991" t="s">
        <v>218</v>
      </c>
      <c r="B991" t="str">
        <f>"13995"</f>
        <v>13995</v>
      </c>
      <c r="C991" t="str">
        <f>"2015"</f>
        <v>2015</v>
      </c>
      <c r="D991" t="str">
        <f>"Kaheli sakki ja kauhujen kaappi"</f>
        <v>Kaheli sakki ja kauhujen kaappi</v>
      </c>
      <c r="E991" t="str">
        <f t="shared" si="83"/>
        <v>viro</v>
      </c>
      <c r="F991" t="str">
        <f>"romaanid; proosa"</f>
        <v>romaanid; proosa</v>
      </c>
      <c r="G991" t="str">
        <f>" lapsed ja noored"</f>
        <v xml:space="preserve"> lapsed ja noored</v>
      </c>
      <c r="H991" t="str">
        <f t="shared" si="84"/>
        <v>2016</v>
      </c>
      <c r="I991" t="str">
        <f>"Hull kamp ja saladuste kapp"</f>
        <v>Hull kamp ja saladuste kapp</v>
      </c>
      <c r="J991" t="str">
        <f>"Rebase, Aivy"</f>
        <v>Rebase, Aivy</v>
      </c>
      <c r="K991" t="str">
        <f>"Ajakirjade Kirjastus, Tallinn"</f>
        <v>Ajakirjade Kirjastus, Tallinn</v>
      </c>
      <c r="L991" t="str">
        <f>""</f>
        <v/>
      </c>
      <c r="M991" t="str">
        <f>"9789949392032"</f>
        <v>9789949392032</v>
      </c>
    </row>
    <row r="992" spans="1:13" ht="15">
      <c r="A992" t="s">
        <v>219</v>
      </c>
      <c r="B992" t="str">
        <f>"13996"</f>
        <v>13996</v>
      </c>
      <c r="C992" t="str">
        <f>"2015"</f>
        <v>2015</v>
      </c>
      <c r="D992" t="str">
        <f>"Kesä Koiramäessä"</f>
        <v>Kesä Koiramäessä</v>
      </c>
      <c r="E992" t="str">
        <f t="shared" si="83"/>
        <v>viro</v>
      </c>
      <c r="F992" t="str">
        <f>"pildiraamatud"</f>
        <v>pildiraamatud</v>
      </c>
      <c r="G992" t="str">
        <f>" lapsed ja noored"</f>
        <v xml:space="preserve"> lapsed ja noored</v>
      </c>
      <c r="H992" t="str">
        <f t="shared" si="84"/>
        <v>2016</v>
      </c>
      <c r="I992" t="str">
        <f>"Suvi Koeramäel"</f>
        <v>Suvi Koeramäel</v>
      </c>
      <c r="J992" t="str">
        <f>"Kass, Kristiina"</f>
        <v>Kass, Kristiina</v>
      </c>
      <c r="K992" t="str">
        <f>"Sinisukk, Tallinn"</f>
        <v>Sinisukk, Tallinn</v>
      </c>
      <c r="L992" t="str">
        <f>""</f>
        <v/>
      </c>
      <c r="M992" t="str">
        <f>"9789949344499"</f>
        <v>9789949344499</v>
      </c>
    </row>
    <row r="993" spans="1:13" ht="15">
      <c r="A993" t="s">
        <v>237</v>
      </c>
      <c r="B993" t="str">
        <f>"15268"</f>
        <v>15268</v>
      </c>
      <c r="C993" t="str">
        <f>"2014"</f>
        <v>2014</v>
      </c>
      <c r="D993" t="str">
        <f>"Pohjolan leijona : Kustaa II Adolf ja Suomi 1611-1632"</f>
        <v>Pohjolan leijona : Kustaa II Adolf ja Suomi 1611-1632</v>
      </c>
      <c r="E993" t="str">
        <f t="shared" si="83"/>
        <v>viro</v>
      </c>
      <c r="F993" t="str">
        <f>""</f>
        <v/>
      </c>
      <c r="G993" t="str">
        <f>"  täiskasvanud"</f>
        <v xml:space="preserve">  täiskasvanud</v>
      </c>
      <c r="H993" t="str">
        <f t="shared" si="84"/>
        <v>2016</v>
      </c>
      <c r="I993" t="str">
        <f>"Põhjala Lõvi"</f>
        <v>Põhjala Lõvi</v>
      </c>
      <c r="J993" t="str">
        <f>"Paikre, Ants"</f>
        <v>Paikre, Ants</v>
      </c>
      <c r="K993" t="str">
        <f>"Tänapäev, Tallinn"</f>
        <v>Tänapäev, Tallinn</v>
      </c>
      <c r="L993" t="str">
        <f>""</f>
        <v/>
      </c>
      <c r="M993" t="str">
        <f>"9789949850570"</f>
        <v>9789949850570</v>
      </c>
    </row>
    <row r="994" spans="1:13" ht="15">
      <c r="A994" t="s">
        <v>249</v>
      </c>
      <c r="B994" t="str">
        <f>"14634"</f>
        <v>14634</v>
      </c>
      <c r="C994" t="str">
        <f>"1993"</f>
        <v>1993</v>
      </c>
      <c r="D994" t="str">
        <f>"Ensimmäinen murhani"</f>
        <v>Ensimmäinen murhani</v>
      </c>
      <c r="E994" t="str">
        <f t="shared" si="83"/>
        <v>viro</v>
      </c>
      <c r="F994" t="str">
        <f>"romaanid; põnevus- ja krimikirjandus; proosa"</f>
        <v>romaanid; põnevus- ja krimikirjandus; proosa</v>
      </c>
      <c r="G994" t="str">
        <f>"  täiskasvanud"</f>
        <v xml:space="preserve">  täiskasvanud</v>
      </c>
      <c r="H994" t="str">
        <f t="shared" si="84"/>
        <v>2016</v>
      </c>
      <c r="I994" t="str">
        <f>"Minu esimene mõrv"</f>
        <v>Minu esimene mõrv</v>
      </c>
      <c r="J994" t="str">
        <f>"Aimla-Laid, Triin"</f>
        <v>Aimla-Laid, Triin</v>
      </c>
      <c r="K994" t="str">
        <f>"Pegasus, Tallinn"</f>
        <v>Pegasus, Tallinn</v>
      </c>
      <c r="L994" t="str">
        <f>""</f>
        <v/>
      </c>
      <c r="M994" t="str">
        <f>"978-9949-572-68-7"</f>
        <v>978-9949-572-68-7</v>
      </c>
    </row>
    <row r="995" spans="1:13" ht="15">
      <c r="A995" t="s">
        <v>251</v>
      </c>
      <c r="B995" t="str">
        <f>"15147"</f>
        <v>15147</v>
      </c>
      <c r="C995" t="str">
        <f>"2016"</f>
        <v>2016</v>
      </c>
      <c r="D995" t="str">
        <f>"Tehtävä Tallinnassa : neuvostopropagandaa ja itsenäisyysinnostusta"</f>
        <v>Tehtävä Tallinnassa : neuvostopropagandaa ja itsenäisyysinnostusta</v>
      </c>
      <c r="E995" t="str">
        <f t="shared" si="83"/>
        <v>viro</v>
      </c>
      <c r="F995" t="str">
        <f>""</f>
        <v/>
      </c>
      <c r="G995" t="str">
        <f>"  täiskasvanud"</f>
        <v xml:space="preserve">  täiskasvanud</v>
      </c>
      <c r="H995" t="str">
        <f t="shared" si="84"/>
        <v>2016</v>
      </c>
      <c r="I995" t="str">
        <f>"Ülesandega üle lahe"</f>
        <v>Ülesandega üle lahe</v>
      </c>
      <c r="J995" t="str">
        <f>"Kaaber, Ene"</f>
        <v>Kaaber, Ene</v>
      </c>
      <c r="K995" t="str">
        <f>"K &amp; K, Helsinki"</f>
        <v>K &amp; K, Helsinki</v>
      </c>
      <c r="L995" t="str">
        <f>""</f>
        <v/>
      </c>
      <c r="M995" t="str">
        <f>"9789949954353"</f>
        <v>9789949954353</v>
      </c>
    </row>
    <row r="996" spans="1:13" ht="15">
      <c r="A996" t="s">
        <v>272</v>
      </c>
      <c r="B996" t="str">
        <f>"14015"</f>
        <v>14015</v>
      </c>
      <c r="C996" t="str">
        <f>"2000"</f>
        <v>2000</v>
      </c>
      <c r="D996" t="str">
        <f>"Sotaromaani : Tuntemattoman sotilaan käsikirjoitus"</f>
        <v>Sotaromaani : Tuntemattoman sotilaan käsikirjoitus</v>
      </c>
      <c r="E996" t="str">
        <f t="shared" si="83"/>
        <v>viro</v>
      </c>
      <c r="F996" t="str">
        <f>"romaanid; proosa"</f>
        <v>romaanid; proosa</v>
      </c>
      <c r="G996" t="str">
        <f>"  täiskasvanud"</f>
        <v xml:space="preserve">  täiskasvanud</v>
      </c>
      <c r="H996" t="str">
        <f t="shared" si="84"/>
        <v>2016</v>
      </c>
      <c r="I996" t="str">
        <f>"Sõjaromaan"</f>
        <v>Sõjaromaan</v>
      </c>
      <c r="J996" t="str">
        <f>"Mallene, Endel, Mallene, Meelik"</f>
        <v>Mallene, Endel, Mallene, Meelik</v>
      </c>
      <c r="K996" t="str">
        <f>"Tänapäev, Tallinn"</f>
        <v>Tänapäev, Tallinn</v>
      </c>
      <c r="L996" t="str">
        <f>""</f>
        <v/>
      </c>
      <c r="M996" t="str">
        <f>"9789949279944"</f>
        <v>9789949279944</v>
      </c>
    </row>
    <row r="997" spans="1:13" ht="15">
      <c r="A997" t="s">
        <v>278</v>
      </c>
      <c r="B997" t="str">
        <f>"13850"</f>
        <v>13850</v>
      </c>
      <c r="C997" t="str">
        <f>"2015"</f>
        <v>2015</v>
      </c>
      <c r="D997" t="str">
        <f>"Litmanen10"</f>
        <v>Litmanen10</v>
      </c>
      <c r="E997" t="str">
        <f t="shared" si="83"/>
        <v>viro</v>
      </c>
      <c r="F997" t="str">
        <f>""</f>
        <v/>
      </c>
      <c r="G997" t="str">
        <f>"  täiskasvanud"</f>
        <v xml:space="preserve">  täiskasvanud</v>
      </c>
      <c r="H997" t="str">
        <f t="shared" si="84"/>
        <v>2016</v>
      </c>
      <c r="I997" t="str">
        <f>"Litmanen10"</f>
        <v>Litmanen10</v>
      </c>
      <c r="J997" t="str">
        <f>"Orntlich, Anne-Mari"</f>
        <v>Orntlich, Anne-Mari</v>
      </c>
      <c r="K997" t="str">
        <f>"Tänapäev, Tallinn"</f>
        <v>Tänapäev, Tallinn</v>
      </c>
      <c r="L997" t="str">
        <f>""</f>
        <v/>
      </c>
      <c r="M997" t="str">
        <f>"9789949278985"</f>
        <v>9789949278985</v>
      </c>
    </row>
    <row r="998" spans="1:13" ht="15">
      <c r="A998" t="s">
        <v>279</v>
      </c>
      <c r="B998" t="str">
        <f>"17828"</f>
        <v>17828</v>
      </c>
      <c r="C998" t="str">
        <f>"2015"</f>
        <v>2015</v>
      </c>
      <c r="D998" t="str">
        <f>"Hello Ruby : Adventures in coding"</f>
        <v>Hello Ruby : Adventures in coding</v>
      </c>
      <c r="E998" t="str">
        <f t="shared" si="83"/>
        <v>viro</v>
      </c>
      <c r="F998" t="str">
        <f>""</f>
        <v/>
      </c>
      <c r="G998" t="str">
        <f>" lapsed ja noored"</f>
        <v xml:space="preserve"> lapsed ja noored</v>
      </c>
      <c r="H998" t="str">
        <f t="shared" si="84"/>
        <v>2016</v>
      </c>
      <c r="I998" t="str">
        <f>"Tere, Ruby! : programmeerimisseiklused"</f>
        <v>Tere, Ruby! : programmeerimisseiklused</v>
      </c>
      <c r="J998" t="str">
        <f>"Hinrikson, Hels"</f>
        <v>Hinrikson, Hels</v>
      </c>
      <c r="K998" t="str">
        <f>"Hea Lugu, Tallinn"</f>
        <v>Hea Lugu, Tallinn</v>
      </c>
      <c r="L998" t="str">
        <f>""</f>
        <v/>
      </c>
      <c r="M998" t="str">
        <f>"9789949561964"</f>
        <v>9789949561964</v>
      </c>
    </row>
    <row r="999" spans="1:13" ht="15">
      <c r="A999" t="s">
        <v>330</v>
      </c>
      <c r="B999" t="str">
        <f>"14013"</f>
        <v>14013</v>
      </c>
      <c r="C999" t="str">
        <f>"2013"</f>
        <v>2013</v>
      </c>
      <c r="D999" t="str">
        <f>"Risto Räppääjä ja kaksoisolento"</f>
        <v>Risto Räppääjä ja kaksoisolento</v>
      </c>
      <c r="E999" t="str">
        <f t="shared" si="83"/>
        <v>viro</v>
      </c>
      <c r="F999" t="str">
        <f>"proosa"</f>
        <v>proosa</v>
      </c>
      <c r="G999" t="str">
        <f>" lapsed ja noored"</f>
        <v xml:space="preserve"> lapsed ja noored</v>
      </c>
      <c r="H999" t="str">
        <f t="shared" si="84"/>
        <v>2016</v>
      </c>
      <c r="I999" t="str">
        <f>"Risto Räppar ja teisik"</f>
        <v>Risto Räppar ja teisik</v>
      </c>
      <c r="J999" t="str">
        <f>"Kass, Kristiina"</f>
        <v>Kass, Kristiina</v>
      </c>
      <c r="K999" t="str">
        <f>"Varrak, Tallinn"</f>
        <v>Varrak, Tallinn</v>
      </c>
      <c r="L999" t="str">
        <f>""</f>
        <v/>
      </c>
      <c r="M999" t="str">
        <f>"9789985338261"</f>
        <v>9789985338261</v>
      </c>
    </row>
    <row r="1000" spans="1:13" ht="15">
      <c r="A1000" t="s">
        <v>330</v>
      </c>
      <c r="B1000" t="str">
        <f>"13876"</f>
        <v>13876</v>
      </c>
      <c r="C1000" t="str">
        <f>"2012"</f>
        <v>2012</v>
      </c>
      <c r="D1000" t="str">
        <f>"Risto Räppääjä ja nukkavieru Nelli"</f>
        <v>Risto Räppääjä ja nukkavieru Nelli</v>
      </c>
      <c r="E1000" t="str">
        <f t="shared" si="83"/>
        <v>viro</v>
      </c>
      <c r="F1000" t="str">
        <f>"proosa"</f>
        <v>proosa</v>
      </c>
      <c r="G1000" t="str">
        <f>" lapsed ja noored"</f>
        <v xml:space="preserve"> lapsed ja noored</v>
      </c>
      <c r="H1000" t="str">
        <f t="shared" si="84"/>
        <v>2016</v>
      </c>
      <c r="I1000" t="str">
        <f>"Risto Räppar ja armetu Nelli"</f>
        <v>Risto Räppar ja armetu Nelli</v>
      </c>
      <c r="J1000" t="str">
        <f>"Kass, Kristiina"</f>
        <v>Kass, Kristiina</v>
      </c>
      <c r="K1000" t="str">
        <f>"Varrak, Tallinn"</f>
        <v>Varrak, Tallinn</v>
      </c>
      <c r="L1000" t="str">
        <f>""</f>
        <v/>
      </c>
      <c r="M1000" t="str">
        <f>"978-9985-3-3406-5"</f>
        <v>978-9985-3-3406-5</v>
      </c>
    </row>
    <row r="1001" spans="1:13" ht="15">
      <c r="A1001" t="s">
        <v>331</v>
      </c>
      <c r="B1001" t="str">
        <f>"14013"</f>
        <v>14013</v>
      </c>
      <c r="C1001" t="str">
        <f>"2013"</f>
        <v>2013</v>
      </c>
      <c r="D1001" t="str">
        <f>"Risto Räppääjä ja kaksoisolento"</f>
        <v>Risto Räppääjä ja kaksoisolento</v>
      </c>
      <c r="E1001" t="str">
        <f t="shared" si="83"/>
        <v>viro</v>
      </c>
      <c r="F1001" t="str">
        <f>"proosa"</f>
        <v>proosa</v>
      </c>
      <c r="G1001" t="str">
        <f>" lapsed ja noored"</f>
        <v xml:space="preserve"> lapsed ja noored</v>
      </c>
      <c r="H1001" t="str">
        <f t="shared" si="84"/>
        <v>2016</v>
      </c>
      <c r="I1001" t="str">
        <f>"Risto Räppar ja teisik"</f>
        <v>Risto Räppar ja teisik</v>
      </c>
      <c r="J1001" t="str">
        <f>"Kass, Kristiina"</f>
        <v>Kass, Kristiina</v>
      </c>
      <c r="K1001" t="str">
        <f>"Varrak, Tallinn"</f>
        <v>Varrak, Tallinn</v>
      </c>
      <c r="L1001" t="str">
        <f>""</f>
        <v/>
      </c>
      <c r="M1001" t="str">
        <f>"9789985338261"</f>
        <v>9789985338261</v>
      </c>
    </row>
    <row r="1002" spans="1:13" ht="15">
      <c r="A1002" t="s">
        <v>331</v>
      </c>
      <c r="B1002" t="str">
        <f>"13876"</f>
        <v>13876</v>
      </c>
      <c r="C1002" t="str">
        <f>"2012"</f>
        <v>2012</v>
      </c>
      <c r="D1002" t="str">
        <f>"Risto Räppääjä ja nukkavieru Nelli"</f>
        <v>Risto Räppääjä ja nukkavieru Nelli</v>
      </c>
      <c r="E1002" t="str">
        <f t="shared" si="83"/>
        <v>viro</v>
      </c>
      <c r="F1002" t="str">
        <f>"proosa"</f>
        <v>proosa</v>
      </c>
      <c r="G1002" t="str">
        <f>" lapsed ja noored"</f>
        <v xml:space="preserve"> lapsed ja noored</v>
      </c>
      <c r="H1002" t="str">
        <f t="shared" si="84"/>
        <v>2016</v>
      </c>
      <c r="I1002" t="str">
        <f>"Risto Räppar ja armetu Nelli"</f>
        <v>Risto Räppar ja armetu Nelli</v>
      </c>
      <c r="J1002" t="str">
        <f>"Kass, Kristiina"</f>
        <v>Kass, Kristiina</v>
      </c>
      <c r="K1002" t="str">
        <f>"Varrak, Tallinn"</f>
        <v>Varrak, Tallinn</v>
      </c>
      <c r="L1002" t="str">
        <f>""</f>
        <v/>
      </c>
      <c r="M1002" t="str">
        <f>"978-9985-3-3406-5"</f>
        <v>978-9985-3-3406-5</v>
      </c>
    </row>
    <row r="1003" spans="1:13" ht="15">
      <c r="A1003" t="s">
        <v>346</v>
      </c>
      <c r="B1003" t="str">
        <f>"14016"</f>
        <v>14016</v>
      </c>
      <c r="C1003" t="str">
        <f>"2016"</f>
        <v>2016</v>
      </c>
      <c r="D1003" t="str">
        <f>"Norma"</f>
        <v>Norma</v>
      </c>
      <c r="E1003" t="str">
        <f t="shared" si="83"/>
        <v>viro</v>
      </c>
      <c r="F1003" t="str">
        <f>"romaanid; proosa"</f>
        <v>romaanid; proosa</v>
      </c>
      <c r="G1003" t="str">
        <f>"  täiskasvanud"</f>
        <v xml:space="preserve">  täiskasvanud</v>
      </c>
      <c r="H1003" t="str">
        <f t="shared" si="84"/>
        <v>2016</v>
      </c>
      <c r="I1003" t="str">
        <f>"Norma"</f>
        <v>Norma</v>
      </c>
      <c r="J1003" t="str">
        <f>"Jaanits, Kadri"</f>
        <v>Jaanits, Kadri</v>
      </c>
      <c r="K1003" t="str">
        <f>"Varrak, Tallinn"</f>
        <v>Varrak, Tallinn</v>
      </c>
      <c r="L1003" t="str">
        <f>""</f>
        <v/>
      </c>
      <c r="M1003" t="str">
        <f>"9789985336946"</f>
        <v>9789985336946</v>
      </c>
    </row>
    <row r="1004" spans="1:13" ht="15">
      <c r="A1004" t="s">
        <v>367</v>
      </c>
      <c r="B1004" t="str">
        <f>"14017"</f>
        <v>14017</v>
      </c>
      <c r="C1004" t="str">
        <f>"2005"</f>
        <v>2005</v>
      </c>
      <c r="D1004" t="str">
        <f>"Ella aalloilla"</f>
        <v>Ella aalloilla</v>
      </c>
      <c r="E1004" t="str">
        <f t="shared" si="83"/>
        <v>viro</v>
      </c>
      <c r="F1004" t="str">
        <f>"proosa"</f>
        <v>proosa</v>
      </c>
      <c r="G1004" t="str">
        <f>" lapsed ja noored"</f>
        <v xml:space="preserve"> lapsed ja noored</v>
      </c>
      <c r="H1004" t="str">
        <f t="shared" si="84"/>
        <v>2016</v>
      </c>
      <c r="I1004" t="str">
        <f>"Ella merereisil"</f>
        <v>Ella merereisil</v>
      </c>
      <c r="J1004" t="str">
        <f>"Arder, Elisabeth"</f>
        <v>Arder, Elisabeth</v>
      </c>
      <c r="K1004" t="str">
        <f>"Ajakirjade Kirjastus, Tallinn"</f>
        <v>Ajakirjade Kirjastus, Tallinn</v>
      </c>
      <c r="L1004" t="str">
        <f>""</f>
        <v/>
      </c>
      <c r="M1004" t="str">
        <f>"9789949392223"</f>
        <v>9789949392223</v>
      </c>
    </row>
    <row r="1005" spans="1:13" ht="15">
      <c r="A1005" t="s">
        <v>367</v>
      </c>
      <c r="B1005" t="str">
        <f>"14100"</f>
        <v>14100</v>
      </c>
      <c r="C1005" t="str">
        <f>"2015"</f>
        <v>2015</v>
      </c>
      <c r="D1005" t="str">
        <f>"Kepler62. Kirja yksi, Kutsu"</f>
        <v>Kepler62. Kirja yksi, Kutsu</v>
      </c>
      <c r="E1005" t="str">
        <f t="shared" si="83"/>
        <v>viro</v>
      </c>
      <c r="F1005" t="str">
        <f>"romaanid; tieteiskirjallisuus; proosa"</f>
        <v>romaanid; tieteiskirjallisuus; proosa</v>
      </c>
      <c r="G1005" t="str">
        <f>" lapsed ja noored"</f>
        <v xml:space="preserve"> lapsed ja noored</v>
      </c>
      <c r="H1005" t="str">
        <f t="shared" si="84"/>
        <v>2016</v>
      </c>
      <c r="I1005" t="str">
        <f>"Kepler62. Esimene raamat, Kutse"</f>
        <v>Kepler62. Esimene raamat, Kutse</v>
      </c>
      <c r="J1005" t="str">
        <f>"Kooli, Rain"</f>
        <v>Kooli, Rain</v>
      </c>
      <c r="K1005" t="str">
        <f>"Ajakirjade Kirjastus, Tallinn"</f>
        <v>Ajakirjade Kirjastus, Tallinn</v>
      </c>
      <c r="L1005" t="str">
        <f>""</f>
        <v/>
      </c>
      <c r="M1005" t="str">
        <f>"9789949392216"</f>
        <v>9789949392216</v>
      </c>
    </row>
    <row r="1006" spans="1:13" ht="15">
      <c r="A1006" t="s">
        <v>367</v>
      </c>
      <c r="B1006" t="str">
        <f>"14018"</f>
        <v>14018</v>
      </c>
      <c r="C1006" t="str">
        <f>"2014"</f>
        <v>2014</v>
      </c>
      <c r="D1006" t="str">
        <f>"Paten aikakirjat"</f>
        <v>Paten aikakirjat</v>
      </c>
      <c r="E1006" t="str">
        <f t="shared" si="83"/>
        <v>viro</v>
      </c>
      <c r="F1006" t="str">
        <f>"proosa"</f>
        <v>proosa</v>
      </c>
      <c r="G1006" t="str">
        <f>" lapsed ja noored"</f>
        <v xml:space="preserve"> lapsed ja noored</v>
      </c>
      <c r="H1006" t="str">
        <f t="shared" si="84"/>
        <v>2016</v>
      </c>
      <c r="I1006" t="str">
        <f>"Pate päevaraamat"</f>
        <v>Pate päevaraamat</v>
      </c>
      <c r="J1006" t="str">
        <f>"Arder, Elisabeth"</f>
        <v>Arder, Elisabeth</v>
      </c>
      <c r="K1006" t="str">
        <f>"Ajakirjade Kirjastus, Tallinn"</f>
        <v>Ajakirjade Kirjastus, Tallinn</v>
      </c>
      <c r="L1006" t="str">
        <f>""</f>
        <v/>
      </c>
      <c r="M1006" t="str">
        <f>"9789949391677"</f>
        <v>9789949391677</v>
      </c>
    </row>
    <row r="1007" spans="1:13" ht="15">
      <c r="A1007" t="s">
        <v>378</v>
      </c>
      <c r="B1007" t="str">
        <f>"17490"</f>
        <v>17490</v>
      </c>
      <c r="C1007" t="str">
        <f>"2016"</f>
        <v>2016</v>
      </c>
      <c r="D1007" t="str">
        <f>"Ketun kaupunki"</f>
        <v>Ketun kaupunki</v>
      </c>
      <c r="E1007" t="str">
        <f>"viro, välikieli"</f>
        <v>viro, välikieli</v>
      </c>
      <c r="F1007" t="str">
        <f>"pildiraamatud"</f>
        <v>pildiraamatud</v>
      </c>
      <c r="G1007" t="str">
        <f>" lapsed ja noored"</f>
        <v xml:space="preserve"> lapsed ja noored</v>
      </c>
      <c r="H1007" t="str">
        <f t="shared" si="84"/>
        <v>2016</v>
      </c>
      <c r="I1007" t="str">
        <f>"Rebase linn"</f>
        <v>Rebase linn</v>
      </c>
      <c r="J1007" t="str">
        <f>"Laansoo-Hämarik, Helen"</f>
        <v>Laansoo-Hämarik, Helen</v>
      </c>
      <c r="K1007" t="str">
        <f>"WickWick, Helsinki"</f>
        <v>WickWick, Helsinki</v>
      </c>
      <c r="L1007" t="str">
        <f>""</f>
        <v/>
      </c>
      <c r="M1007" t="str">
        <f>"978-952-325-199-1"</f>
        <v>978-952-325-199-1</v>
      </c>
    </row>
    <row r="1008" spans="1:13" ht="15">
      <c r="A1008" t="s">
        <v>425</v>
      </c>
      <c r="B1008" t="str">
        <f>"13500"</f>
        <v>13500</v>
      </c>
      <c r="C1008" t="str">
        <f>"2013"</f>
        <v>2013</v>
      </c>
      <c r="D1008" t="str">
        <f>"Vorkuta!"</f>
        <v>Vorkuta!</v>
      </c>
      <c r="E1008" t="str">
        <f aca="true" t="shared" si="85" ref="E1008:E1039">"viro"</f>
        <v>viro</v>
      </c>
      <c r="F1008" t="str">
        <f>""</f>
        <v/>
      </c>
      <c r="G1008" t="str">
        <f>"  täiskasvanud"</f>
        <v xml:space="preserve">  täiskasvanud</v>
      </c>
      <c r="H1008" t="str">
        <f t="shared" si="84"/>
        <v>2016</v>
      </c>
      <c r="I1008" t="str">
        <f>"Vorkuta!"</f>
        <v>Vorkuta!</v>
      </c>
      <c r="J1008" t="str">
        <f>"Adamson, Andres"</f>
        <v>Adamson, Andres</v>
      </c>
      <c r="K1008" t="str">
        <f>"Argo, Tallinn"</f>
        <v>Argo, Tallinn</v>
      </c>
      <c r="L1008" t="str">
        <f>""</f>
        <v/>
      </c>
      <c r="M1008" t="str">
        <f>"978-9949-527-68-7"</f>
        <v>978-9949-527-68-7</v>
      </c>
    </row>
    <row r="1009" spans="1:13" ht="15">
      <c r="A1009" t="s">
        <v>466</v>
      </c>
      <c r="B1009" t="str">
        <f>"13536"</f>
        <v>13536</v>
      </c>
      <c r="C1009" t="str">
        <f>"1941"</f>
        <v>1941</v>
      </c>
      <c r="D1009" t="str">
        <f>"Elokuu : romaani"</f>
        <v>Elokuu : romaani</v>
      </c>
      <c r="E1009" t="str">
        <f t="shared" si="85"/>
        <v>viro</v>
      </c>
      <c r="F1009" t="str">
        <f>"romaanid; proosa"</f>
        <v>romaanid; proosa</v>
      </c>
      <c r="G1009" t="str">
        <f>"  täiskasvanud"</f>
        <v xml:space="preserve">  täiskasvanud</v>
      </c>
      <c r="H1009" t="str">
        <f t="shared" si="84"/>
        <v>2016</v>
      </c>
      <c r="I1009" t="str">
        <f>"Lõikuskuu"</f>
        <v>Lõikuskuu</v>
      </c>
      <c r="J1009" t="str">
        <f>"Palli, Ilmar"</f>
        <v>Palli, Ilmar</v>
      </c>
      <c r="K1009" t="str">
        <f>"Eesti Raamat, Tallinn"</f>
        <v>Eesti Raamat, Tallinn</v>
      </c>
      <c r="L1009" t="str">
        <f>""</f>
        <v/>
      </c>
      <c r="M1009" t="str">
        <f>"978-9949-567-37-9"</f>
        <v>978-9949-567-37-9</v>
      </c>
    </row>
    <row r="1010" spans="1:13" ht="15">
      <c r="A1010" t="s">
        <v>473</v>
      </c>
      <c r="B1010" t="str">
        <f>"16002"</f>
        <v>16002</v>
      </c>
      <c r="C1010" t="str">
        <f>"2011"</f>
        <v>2011</v>
      </c>
      <c r="D1010" t="str">
        <f>"Vasara ja hiljaisuus : lyhyt johdatus työkalujen filosofiaan"</f>
        <v>Vasara ja hiljaisuus : lyhyt johdatus työkalujen filosofiaan</v>
      </c>
      <c r="E1010" t="str">
        <f t="shared" si="85"/>
        <v>viro</v>
      </c>
      <c r="F1010" t="str">
        <f>""</f>
        <v/>
      </c>
      <c r="G1010" t="str">
        <f>"  täiskasvanud"</f>
        <v xml:space="preserve">  täiskasvanud</v>
      </c>
      <c r="H1010" t="str">
        <f t="shared" si="84"/>
        <v>2016</v>
      </c>
      <c r="I1010" t="str">
        <f>"Vasar ja vaikus"</f>
        <v>Vasar ja vaikus</v>
      </c>
      <c r="J1010" t="str">
        <f>"Pärnamäe, Jaan"</f>
        <v>Pärnamäe, Jaan</v>
      </c>
      <c r="K1010" t="str">
        <f>"Eesti Kunstiakadeemia, Tallinn"</f>
        <v>Eesti Kunstiakadeemia, Tallinn</v>
      </c>
      <c r="L1010" t="str">
        <f>""</f>
        <v/>
      </c>
      <c r="M1010" t="str">
        <f>"978-9949-467-93-8"</f>
        <v>978-9949-467-93-8</v>
      </c>
    </row>
    <row r="1011" spans="1:13" ht="15">
      <c r="A1011" t="s">
        <v>479</v>
      </c>
      <c r="B1011" t="str">
        <f>"14100"</f>
        <v>14100</v>
      </c>
      <c r="C1011" t="str">
        <f>"2015"</f>
        <v>2015</v>
      </c>
      <c r="D1011" t="str">
        <f>"Kepler62. Kirja yksi, Kutsu"</f>
        <v>Kepler62. Kirja yksi, Kutsu</v>
      </c>
      <c r="E1011" t="str">
        <f t="shared" si="85"/>
        <v>viro</v>
      </c>
      <c r="F1011" t="str">
        <f>"romaanid; tieteiskirjallisuus; proosa"</f>
        <v>romaanid; tieteiskirjallisuus; proosa</v>
      </c>
      <c r="G1011" t="str">
        <f>" lapsed ja noored"</f>
        <v xml:space="preserve"> lapsed ja noored</v>
      </c>
      <c r="H1011" t="str">
        <f t="shared" si="84"/>
        <v>2016</v>
      </c>
      <c r="I1011" t="str">
        <f>"Kepler62. Esimene raamat, Kutse"</f>
        <v>Kepler62. Esimene raamat, Kutse</v>
      </c>
      <c r="J1011" t="str">
        <f>"Kooli, Rain"</f>
        <v>Kooli, Rain</v>
      </c>
      <c r="K1011" t="str">
        <f>"Ajakirjade Kirjastus, Tallinn"</f>
        <v>Ajakirjade Kirjastus, Tallinn</v>
      </c>
      <c r="L1011" t="str">
        <f>""</f>
        <v/>
      </c>
      <c r="M1011" t="str">
        <f>"9789949392216"</f>
        <v>9789949392216</v>
      </c>
    </row>
    <row r="1012" spans="1:13" ht="15">
      <c r="A1012" t="s">
        <v>495</v>
      </c>
      <c r="B1012" t="str">
        <f>"14232"</f>
        <v>14232</v>
      </c>
      <c r="C1012" t="str">
        <f>"2016"</f>
        <v>2016</v>
      </c>
      <c r="D1012" t="str">
        <f>"Pasilan mies"</f>
        <v>Pasilan mies</v>
      </c>
      <c r="E1012" t="str">
        <f t="shared" si="85"/>
        <v>viro</v>
      </c>
      <c r="F1012" t="str">
        <f>"romaanid; põnevus- ja krimikirjandus; proosa"</f>
        <v>romaanid; põnevus- ja krimikirjandus; proosa</v>
      </c>
      <c r="G1012" t="str">
        <f>"  täiskasvanud"</f>
        <v xml:space="preserve">  täiskasvanud</v>
      </c>
      <c r="H1012" t="str">
        <f t="shared" si="84"/>
        <v>2016</v>
      </c>
      <c r="I1012" t="str">
        <f>"Mees Pasilast"</f>
        <v>Mees Pasilast</v>
      </c>
      <c r="J1012" t="str">
        <f>"Lepp, Andres"</f>
        <v>Lepp, Andres</v>
      </c>
      <c r="K1012" t="str">
        <f>"Sinisukk, Tallinn"</f>
        <v>Sinisukk, Tallinn</v>
      </c>
      <c r="L1012" t="str">
        <f>""</f>
        <v/>
      </c>
      <c r="M1012" t="str">
        <f>"978-9949-34-518-2"</f>
        <v>978-9949-34-518-2</v>
      </c>
    </row>
    <row r="1013" spans="1:13" ht="15">
      <c r="A1013" t="s">
        <v>522</v>
      </c>
      <c r="B1013" t="str">
        <f>"13531"</f>
        <v>13531</v>
      </c>
      <c r="C1013" t="str">
        <f>"2015"</f>
        <v>2015</v>
      </c>
      <c r="D1013" t="str">
        <f>"Kaivos"</f>
        <v>Kaivos</v>
      </c>
      <c r="E1013" t="str">
        <f t="shared" si="85"/>
        <v>viro</v>
      </c>
      <c r="F1013" t="str">
        <f>"romaanid; põnevus- ja krimikirjandus; proosa"</f>
        <v>romaanid; põnevus- ja krimikirjandus; proosa</v>
      </c>
      <c r="G1013" t="str">
        <f>"  täiskasvanud"</f>
        <v xml:space="preserve">  täiskasvanud</v>
      </c>
      <c r="H1013" t="str">
        <f t="shared" si="84"/>
        <v>2016</v>
      </c>
      <c r="I1013" t="str">
        <f>"Kaevandus"</f>
        <v>Kaevandus</v>
      </c>
      <c r="J1013" t="str">
        <f>"Ringeveld, Katrin"</f>
        <v>Ringeveld, Katrin</v>
      </c>
      <c r="K1013" t="str">
        <f>"Eesti Raamat, Tallinn"</f>
        <v>Eesti Raamat, Tallinn</v>
      </c>
      <c r="L1013" t="str">
        <f>""</f>
        <v/>
      </c>
      <c r="M1013" t="str">
        <f>"978-9949-567-35-5"</f>
        <v>978-9949-567-35-5</v>
      </c>
    </row>
    <row r="1014" spans="1:13" ht="15">
      <c r="A1014" t="s">
        <v>531</v>
      </c>
      <c r="B1014" t="str">
        <f>"13659"</f>
        <v>13659</v>
      </c>
      <c r="C1014" t="str">
        <f>"2013"</f>
        <v>2013</v>
      </c>
      <c r="D1014" t="str">
        <f>"Alkemistit, 1 : Maallinen rakkaus"</f>
        <v>Alkemistit, 1 : Maallinen rakkaus</v>
      </c>
      <c r="E1014" t="str">
        <f t="shared" si="85"/>
        <v>viro</v>
      </c>
      <c r="F1014" t="str">
        <f>"romaanid; proosa"</f>
        <v>romaanid; proosa</v>
      </c>
      <c r="G1014" t="str">
        <f>"  täiskasvanud"</f>
        <v xml:space="preserve">  täiskasvanud</v>
      </c>
      <c r="H1014" t="str">
        <f t="shared" si="84"/>
        <v>2016</v>
      </c>
      <c r="I1014" t="str">
        <f>"Alkeemikud"</f>
        <v>Alkeemikud</v>
      </c>
      <c r="J1014" t="str">
        <f>"Liivak, Sander"</f>
        <v>Liivak, Sander</v>
      </c>
      <c r="K1014" t="str">
        <f>"Eesti Raamat, Tallinn"</f>
        <v>Eesti Raamat, Tallinn</v>
      </c>
      <c r="L1014" t="str">
        <f>""</f>
        <v/>
      </c>
      <c r="M1014" t="str">
        <f>"978-9949-567-60-7"</f>
        <v>978-9949-567-60-7</v>
      </c>
    </row>
    <row r="1015" spans="1:13" ht="15">
      <c r="A1015" t="s">
        <v>563</v>
      </c>
      <c r="B1015" t="str">
        <f>"14912"</f>
        <v>14912</v>
      </c>
      <c r="C1015" t="str">
        <f>"1955"</f>
        <v>1955</v>
      </c>
      <c r="D1015" t="str">
        <f>"Turms, kuolematon"</f>
        <v>Turms, kuolematon</v>
      </c>
      <c r="E1015" t="str">
        <f t="shared" si="85"/>
        <v>viro</v>
      </c>
      <c r="F1015" t="str">
        <f>"romaanid; proosa"</f>
        <v>romaanid; proosa</v>
      </c>
      <c r="G1015" t="str">
        <f>"  täiskasvanud"</f>
        <v xml:space="preserve">  täiskasvanud</v>
      </c>
      <c r="H1015" t="str">
        <f t="shared" si="84"/>
        <v>2016</v>
      </c>
      <c r="I1015" t="str">
        <f>"Turms, surematu"</f>
        <v>Turms, surematu</v>
      </c>
      <c r="J1015" t="str">
        <f>"Liivaku, Uno"</f>
        <v>Liivaku, Uno</v>
      </c>
      <c r="K1015" t="str">
        <f>"Varrak, Tallinn"</f>
        <v>Varrak, Tallinn</v>
      </c>
      <c r="L1015" t="str">
        <f>""</f>
        <v/>
      </c>
      <c r="M1015" t="str">
        <f>"   9789985338766"</f>
        <v xml:space="preserve">   9789985338766</v>
      </c>
    </row>
    <row r="1016" spans="1:13" ht="15">
      <c r="A1016" t="s">
        <v>563</v>
      </c>
      <c r="B1016" t="str">
        <f>"13959"</f>
        <v>13959</v>
      </c>
      <c r="C1016" t="str">
        <f>"1959"</f>
        <v>1959</v>
      </c>
      <c r="D1016" t="str">
        <f>"Valtakunnan salaisuus : Markus Mezentius Manilianuksen yksitoista kirjettä keväästä 30 jKr"</f>
        <v>Valtakunnan salaisuus : Markus Mezentius Manilianuksen yksitoista kirjettä keväästä 30 jKr</v>
      </c>
      <c r="E1016" t="str">
        <f t="shared" si="85"/>
        <v>viro</v>
      </c>
      <c r="F1016" t="str">
        <f>"romaanid; proosa"</f>
        <v>romaanid; proosa</v>
      </c>
      <c r="G1016" t="str">
        <f>"  täiskasvanud"</f>
        <v xml:space="preserve">  täiskasvanud</v>
      </c>
      <c r="H1016" t="str">
        <f t="shared" si="84"/>
        <v>2016</v>
      </c>
      <c r="I1016" t="str">
        <f>"Riigi saladus"</f>
        <v>Riigi saladus</v>
      </c>
      <c r="J1016" t="str">
        <f>"Saluri, Piret"</f>
        <v>Saluri, Piret</v>
      </c>
      <c r="K1016" t="str">
        <f>"Varrak, Tallinn"</f>
        <v>Varrak, Tallinn</v>
      </c>
      <c r="L1016" t="str">
        <f>""</f>
        <v/>
      </c>
      <c r="M1016" t="str">
        <f>"978-9985-3-3818-6"</f>
        <v>978-9985-3-3818-6</v>
      </c>
    </row>
    <row r="1017" spans="2:13" ht="15">
      <c r="B1017" t="str">
        <f>"15765"</f>
        <v>15765</v>
      </c>
      <c r="C1017" t="str">
        <f>"2006"</f>
        <v>2006</v>
      </c>
      <c r="D1017" t="str">
        <f>"100 sosiaalista innovaatiota Suomesta"</f>
        <v>100 sosiaalista innovaatiota Suomesta</v>
      </c>
      <c r="E1017" t="str">
        <f t="shared" si="85"/>
        <v>viro</v>
      </c>
      <c r="F1017" t="str">
        <f>""</f>
        <v/>
      </c>
      <c r="G1017" t="str">
        <f>"  täiskasvanud"</f>
        <v xml:space="preserve">  täiskasvanud</v>
      </c>
      <c r="H1017" t="str">
        <f aca="true" t="shared" si="86" ref="H1017:H1048">"2017"</f>
        <v>2017</v>
      </c>
      <c r="I1017" t="str">
        <f>"100 Soome innovatsiooni"</f>
        <v>100 Soome innovatsiooni</v>
      </c>
      <c r="J1017" t="str">
        <f>"Astok, Hannes"</f>
        <v>Astok, Hannes</v>
      </c>
      <c r="K1017" t="str">
        <f>"Into, Helsinki"</f>
        <v>Into, Helsinki</v>
      </c>
      <c r="L1017" t="str">
        <f>""</f>
        <v/>
      </c>
      <c r="M1017" t="str">
        <f>"9789522649232"</f>
        <v>9789522649232</v>
      </c>
    </row>
    <row r="1018" spans="2:13" ht="15">
      <c r="B1018" t="str">
        <f>"15432"</f>
        <v>15432</v>
      </c>
      <c r="C1018" t="str">
        <f>"2015"</f>
        <v>2015</v>
      </c>
      <c r="D1018" t="str">
        <f>"Mitä mieltä Suomessa saa olla : suvaitsevaisto vs. arvokonservatiivit"</f>
        <v>Mitä mieltä Suomessa saa olla : suvaitsevaisto vs. arvokonservatiivit</v>
      </c>
      <c r="E1018" t="str">
        <f t="shared" si="85"/>
        <v>viro</v>
      </c>
      <c r="F1018" t="str">
        <f>""</f>
        <v/>
      </c>
      <c r="G1018" t="str">
        <f>"  täiskasvanud"</f>
        <v xml:space="preserve">  täiskasvanud</v>
      </c>
      <c r="H1018" t="str">
        <f t="shared" si="86"/>
        <v>2017</v>
      </c>
      <c r="I1018" t="str">
        <f>"Sallijaskond versus väärtuskonservatiivid"</f>
        <v>Sallijaskond versus väärtuskonservatiivid</v>
      </c>
      <c r="J1018" t="str">
        <f>"Kaaber, Ene"</f>
        <v>Kaaber, Ene</v>
      </c>
      <c r="K1018" t="str">
        <f>"K &amp; K, Helsinki"</f>
        <v>K &amp; K, Helsinki</v>
      </c>
      <c r="L1018" t="str">
        <f>""</f>
        <v/>
      </c>
      <c r="M1018" t="str">
        <f>"978-9949-9543-6-0"</f>
        <v>978-9949-9543-6-0</v>
      </c>
    </row>
    <row r="1019" spans="1:13" ht="15">
      <c r="A1019" t="s">
        <v>23</v>
      </c>
      <c r="B1019" t="str">
        <f>"16634"</f>
        <v>16634</v>
      </c>
      <c r="C1019" t="str">
        <f>"2015"</f>
        <v>2015</v>
      </c>
      <c r="D1019" t="str">
        <f>"Metsämieli : kehon ja mielen kuntosali"</f>
        <v>Metsämieli : kehon ja mielen kuntosali</v>
      </c>
      <c r="E1019" t="str">
        <f t="shared" si="85"/>
        <v>viro</v>
      </c>
      <c r="F1019" t="str">
        <f>""</f>
        <v/>
      </c>
      <c r="G1019" t="str">
        <f>"  täiskasvanud"</f>
        <v xml:space="preserve">  täiskasvanud</v>
      </c>
      <c r="H1019" t="str">
        <f t="shared" si="86"/>
        <v>2017</v>
      </c>
      <c r="I1019" t="str">
        <f>"Metsameel : keha ja meele jõusaa"</f>
        <v>Metsameel : keha ja meele jõusaa</v>
      </c>
      <c r="J1019" t="str">
        <f>"Banhard, Evelin"</f>
        <v>Banhard, Evelin</v>
      </c>
      <c r="K1019" t="str">
        <f>"Pegasus, Tallinn"</f>
        <v>Pegasus, Tallinn</v>
      </c>
      <c r="L1019" t="str">
        <f>""</f>
        <v/>
      </c>
      <c r="M1019" t="str">
        <f>"9789949620074"</f>
        <v>9789949620074</v>
      </c>
    </row>
    <row r="1020" spans="1:13" ht="15">
      <c r="A1020" t="s">
        <v>35</v>
      </c>
      <c r="B1020" t="str">
        <f>"16638"</f>
        <v>16638</v>
      </c>
      <c r="C1020" t="str">
        <f>"2017"</f>
        <v>2017</v>
      </c>
      <c r="D1020" t="str">
        <f>"Kalat : Lasten eläinkirja"</f>
        <v>Kalat : Lasten eläinkirja</v>
      </c>
      <c r="E1020" t="str">
        <f t="shared" si="85"/>
        <v>viro</v>
      </c>
      <c r="F1020" t="str">
        <f>""</f>
        <v/>
      </c>
      <c r="G1020" t="str">
        <f>" lapsed ja noored"</f>
        <v xml:space="preserve"> lapsed ja noored</v>
      </c>
      <c r="H1020" t="str">
        <f t="shared" si="86"/>
        <v>2017</v>
      </c>
      <c r="I1020" t="str">
        <f>"Kalad"</f>
        <v>Kalad</v>
      </c>
      <c r="J1020" t="str">
        <f>"Blum, Aivo"</f>
        <v>Blum, Aivo</v>
      </c>
      <c r="K1020" t="str">
        <f>"H. Vilep, Tartu"</f>
        <v>H. Vilep, Tartu</v>
      </c>
      <c r="L1020" t="str">
        <f>""</f>
        <v/>
      </c>
      <c r="M1020" t="str">
        <f>"9789949981076"</f>
        <v>9789949981076</v>
      </c>
    </row>
    <row r="1021" spans="1:13" ht="15">
      <c r="A1021" t="s">
        <v>35</v>
      </c>
      <c r="B1021" t="str">
        <f>"16636"</f>
        <v>16636</v>
      </c>
      <c r="C1021" t="str">
        <f>"2017"</f>
        <v>2017</v>
      </c>
      <c r="D1021" t="str">
        <f>"Linnut : Lasten eläinkirja"</f>
        <v>Linnut : Lasten eläinkirja</v>
      </c>
      <c r="E1021" t="str">
        <f t="shared" si="85"/>
        <v>viro</v>
      </c>
      <c r="F1021" t="str">
        <f>""</f>
        <v/>
      </c>
      <c r="G1021" t="str">
        <f>" lapsed ja noored"</f>
        <v xml:space="preserve"> lapsed ja noored</v>
      </c>
      <c r="H1021" t="str">
        <f t="shared" si="86"/>
        <v>2017</v>
      </c>
      <c r="I1021" t="str">
        <f>"Linnud"</f>
        <v>Linnud</v>
      </c>
      <c r="J1021" t="str">
        <f>"Blum, Aivo"</f>
        <v>Blum, Aivo</v>
      </c>
      <c r="K1021" t="str">
        <f>"H. Vilep, Tartu"</f>
        <v>H. Vilep, Tartu</v>
      </c>
      <c r="L1021" t="str">
        <f>""</f>
        <v/>
      </c>
      <c r="M1021" t="str">
        <f>"9789949981083"</f>
        <v>9789949981083</v>
      </c>
    </row>
    <row r="1022" spans="1:13" ht="15">
      <c r="A1022" t="s">
        <v>35</v>
      </c>
      <c r="B1022" t="str">
        <f>"16635"</f>
        <v>16635</v>
      </c>
      <c r="C1022" t="str">
        <f>"2017"</f>
        <v>2017</v>
      </c>
      <c r="D1022" t="str">
        <f>"Nisäkkäät : Lasten eläinkirja"</f>
        <v>Nisäkkäät : Lasten eläinkirja</v>
      </c>
      <c r="E1022" t="str">
        <f t="shared" si="85"/>
        <v>viro</v>
      </c>
      <c r="F1022" t="str">
        <f>""</f>
        <v/>
      </c>
      <c r="G1022" t="str">
        <f>" lapsed ja noored"</f>
        <v xml:space="preserve"> lapsed ja noored</v>
      </c>
      <c r="H1022" t="str">
        <f t="shared" si="86"/>
        <v>2017</v>
      </c>
      <c r="I1022" t="str">
        <f>"Imetajad"</f>
        <v>Imetajad</v>
      </c>
      <c r="J1022" t="str">
        <f>"Blum, Aivo"</f>
        <v>Blum, Aivo</v>
      </c>
      <c r="K1022" t="str">
        <f>"H. Vilep, Tartu"</f>
        <v>H. Vilep, Tartu</v>
      </c>
      <c r="L1022" t="str">
        <f>""</f>
        <v/>
      </c>
      <c r="M1022" t="str">
        <f>"9789949981069"</f>
        <v>9789949981069</v>
      </c>
    </row>
    <row r="1023" spans="1:13" ht="15">
      <c r="A1023" t="s">
        <v>35</v>
      </c>
      <c r="B1023" t="str">
        <f>"16639"</f>
        <v>16639</v>
      </c>
      <c r="C1023" t="str">
        <f>"2017"</f>
        <v>2017</v>
      </c>
      <c r="D1023" t="str">
        <f>"Niveljalkaiset ja nilviäiset : Lasten eläinkirja"</f>
        <v>Niveljalkaiset ja nilviäiset : Lasten eläinkirja</v>
      </c>
      <c r="E1023" t="str">
        <f t="shared" si="85"/>
        <v>viro</v>
      </c>
      <c r="F1023" t="str">
        <f>""</f>
        <v/>
      </c>
      <c r="G1023" t="str">
        <f>" lapsed ja noored"</f>
        <v xml:space="preserve"> lapsed ja noored</v>
      </c>
      <c r="H1023" t="str">
        <f t="shared" si="86"/>
        <v>2017</v>
      </c>
      <c r="I1023" t="str">
        <f>"Lülijalgsed ja molluskid"</f>
        <v>Lülijalgsed ja molluskid</v>
      </c>
      <c r="J1023" t="str">
        <f>"Blum, Aivo"</f>
        <v>Blum, Aivo</v>
      </c>
      <c r="K1023" t="str">
        <f>"H. Vilep, Tartu"</f>
        <v>H. Vilep, Tartu</v>
      </c>
      <c r="L1023" t="str">
        <f>""</f>
        <v/>
      </c>
      <c r="M1023" t="str">
        <f>"9789949720507"</f>
        <v>9789949720507</v>
      </c>
    </row>
    <row r="1024" spans="1:13" ht="15">
      <c r="A1024" t="s">
        <v>35</v>
      </c>
      <c r="B1024" t="str">
        <f>"16637"</f>
        <v>16637</v>
      </c>
      <c r="C1024" t="str">
        <f>"2017"</f>
        <v>2017</v>
      </c>
      <c r="D1024" t="str">
        <f>"Sammakkoeläimet ja matelijat : Lasten eläinkirja"</f>
        <v>Sammakkoeläimet ja matelijat : Lasten eläinkirja</v>
      </c>
      <c r="E1024" t="str">
        <f t="shared" si="85"/>
        <v>viro</v>
      </c>
      <c r="F1024" t="str">
        <f>""</f>
        <v/>
      </c>
      <c r="G1024" t="str">
        <f>" lapsed ja noored"</f>
        <v xml:space="preserve"> lapsed ja noored</v>
      </c>
      <c r="H1024" t="str">
        <f t="shared" si="86"/>
        <v>2017</v>
      </c>
      <c r="I1024" t="str">
        <f>"Kahepaiksed ja roomajad"</f>
        <v>Kahepaiksed ja roomajad</v>
      </c>
      <c r="J1024" t="str">
        <f>"Blum, Aivo"</f>
        <v>Blum, Aivo</v>
      </c>
      <c r="K1024" t="str">
        <f>"H. Vilep, Tartu"</f>
        <v>H. Vilep, Tartu</v>
      </c>
      <c r="L1024" t="str">
        <f>""</f>
        <v/>
      </c>
      <c r="M1024" t="str">
        <f>"9789949720514"</f>
        <v>9789949720514</v>
      </c>
    </row>
    <row r="1025" spans="1:13" ht="15">
      <c r="A1025" t="s">
        <v>37</v>
      </c>
      <c r="B1025" t="str">
        <f>"16640"</f>
        <v>16640</v>
      </c>
      <c r="C1025" t="str">
        <f>"2014"</f>
        <v>2014</v>
      </c>
      <c r="D1025" t="str">
        <f>"Mieletön fiilis : hyvän mielen käsikirja"</f>
        <v>Mieletön fiilis : hyvän mielen käsikirja</v>
      </c>
      <c r="E1025" t="str">
        <f t="shared" si="85"/>
        <v>viro</v>
      </c>
      <c r="F1025" t="str">
        <f>""</f>
        <v/>
      </c>
      <c r="G1025" t="str">
        <f>"  täiskasvanud"</f>
        <v xml:space="preserve">  täiskasvanud</v>
      </c>
      <c r="H1025" t="str">
        <f t="shared" si="86"/>
        <v>2017</v>
      </c>
      <c r="I1025" t="str">
        <f>"Talumatud tunded"</f>
        <v>Talumatud tunded</v>
      </c>
      <c r="J1025" t="str">
        <f>"Mõistlik, Margit"</f>
        <v>Mõistlik, Margit</v>
      </c>
      <c r="K1025" t="str">
        <f>"Menu, Tallinn"</f>
        <v>Menu, Tallinn</v>
      </c>
      <c r="L1025" t="str">
        <f>""</f>
        <v/>
      </c>
      <c r="M1025" t="str">
        <f>"9789949549740"</f>
        <v>9789949549740</v>
      </c>
    </row>
    <row r="1026" spans="1:13" ht="15">
      <c r="A1026" t="s">
        <v>44</v>
      </c>
      <c r="B1026" t="str">
        <f>"15495"</f>
        <v>15495</v>
      </c>
      <c r="C1026" t="str">
        <f>"2016"</f>
        <v>2016</v>
      </c>
      <c r="D1026" t="str">
        <f>"Hyvintoimintayhteiskunta"</f>
        <v>Hyvintoimintayhteiskunta</v>
      </c>
      <c r="E1026" t="str">
        <f t="shared" si="85"/>
        <v>viro</v>
      </c>
      <c r="F1026" t="str">
        <f>""</f>
        <v/>
      </c>
      <c r="G1026" t="str">
        <f>"  täiskasvanud"</f>
        <v xml:space="preserve">  täiskasvanud</v>
      </c>
      <c r="H1026" t="str">
        <f t="shared" si="86"/>
        <v>2017</v>
      </c>
      <c r="I1026" t="str">
        <f>"Hästi toimiv ühiskond"</f>
        <v>Hästi toimiv ühiskond</v>
      </c>
      <c r="J1026" t="str">
        <f>"Mõistlik, Margit"</f>
        <v>Mõistlik, Margit</v>
      </c>
      <c r="K1026" t="str">
        <f>"Menu, Tallinn"</f>
        <v>Menu, Tallinn</v>
      </c>
      <c r="L1026" t="str">
        <f>""</f>
        <v/>
      </c>
      <c r="M1026" t="str">
        <f>"9789949549573"</f>
        <v>9789949549573</v>
      </c>
    </row>
    <row r="1027" spans="1:13" ht="15">
      <c r="A1027" t="s">
        <v>51</v>
      </c>
      <c r="B1027" t="str">
        <f>"16179"</f>
        <v>16179</v>
      </c>
      <c r="C1027" t="str">
        <f>"2017"</f>
        <v>2017</v>
      </c>
      <c r="D1027" t="str">
        <f>"Roosa ja vaaleanpunainen kummitus"</f>
        <v>Roosa ja vaaleanpunainen kummitus</v>
      </c>
      <c r="E1027" t="str">
        <f t="shared" si="85"/>
        <v>viro</v>
      </c>
      <c r="F1027" t="str">
        <f>"pildiraamatud"</f>
        <v>pildiraamatud</v>
      </c>
      <c r="G1027" t="str">
        <f>" lapsed ja noored"</f>
        <v xml:space="preserve"> lapsed ja noored</v>
      </c>
      <c r="H1027" t="str">
        <f t="shared" si="86"/>
        <v>2017</v>
      </c>
      <c r="I1027" t="str">
        <f>"Hele ja roosa kummitus"</f>
        <v>Hele ja roosa kummitus</v>
      </c>
      <c r="J1027" t="str">
        <f>"Juursoo, Lauri"</f>
        <v>Juursoo, Lauri</v>
      </c>
      <c r="K1027" t="str">
        <f>"Elust Enesest, Tallinn"</f>
        <v>Elust Enesest, Tallinn</v>
      </c>
      <c r="L1027" t="str">
        <f>""</f>
        <v/>
      </c>
      <c r="M1027" t="str">
        <f>"978-9949-818-39-6"</f>
        <v>978-9949-818-39-6</v>
      </c>
    </row>
    <row r="1028" spans="1:13" ht="15">
      <c r="A1028" t="s">
        <v>66</v>
      </c>
      <c r="B1028" t="str">
        <f>"15298"</f>
        <v>15298</v>
      </c>
      <c r="C1028" t="str">
        <f>"2005"</f>
        <v>2005</v>
      </c>
      <c r="D1028" t="str">
        <f>"Suomi myrskyn silmässä : Marsalkka C. G. E. Mannerheimin kansion S-32 salaiset asiakirjat vuosilta 1932-1949. Osa 1, 1932-1940"</f>
        <v>Suomi myrskyn silmässä : Marsalkka C. G. E. Mannerheimin kansion S-32 salaiset asiakirjat vuosilta 1932-1949. Osa 1, 1932-1940</v>
      </c>
      <c r="E1028" t="str">
        <f t="shared" si="85"/>
        <v>viro</v>
      </c>
      <c r="F1028" t="str">
        <f>""</f>
        <v/>
      </c>
      <c r="G1028" t="str">
        <f>"  täiskasvanud"</f>
        <v xml:space="preserve">  täiskasvanud</v>
      </c>
      <c r="H1028" t="str">
        <f t="shared" si="86"/>
        <v>2017</v>
      </c>
      <c r="I1028" t="str">
        <f>"Soome tormi südames"</f>
        <v>Soome tormi südames</v>
      </c>
      <c r="J1028" t="str">
        <f>"Saarman, Dina"</f>
        <v>Saarman, Dina</v>
      </c>
      <c r="K1028" t="str">
        <f>"Penikoorem, Pärnu"</f>
        <v>Penikoorem, Pärnu</v>
      </c>
      <c r="L1028" t="str">
        <f>""</f>
        <v/>
      </c>
      <c r="M1028" t="str">
        <f>"9789949937387"</f>
        <v>9789949937387</v>
      </c>
    </row>
    <row r="1029" spans="1:13" ht="15">
      <c r="A1029" t="s">
        <v>68</v>
      </c>
      <c r="B1029" t="str">
        <f>"15573"</f>
        <v>15573</v>
      </c>
      <c r="C1029" t="str">
        <f>"2016"</f>
        <v>2016</v>
      </c>
      <c r="D1029" t="str">
        <f>"Tatu ja Patu etsivinä : Tapaus Puolittaja"</f>
        <v>Tatu ja Patu etsivinä : Tapaus Puolittaja</v>
      </c>
      <c r="E1029" t="str">
        <f t="shared" si="85"/>
        <v>viro</v>
      </c>
      <c r="F1029" t="str">
        <f>"pildiraamatud"</f>
        <v>pildiraamatud</v>
      </c>
      <c r="G1029" t="str">
        <f>" lapsed ja noored"</f>
        <v xml:space="preserve"> lapsed ja noored</v>
      </c>
      <c r="H1029" t="str">
        <f t="shared" si="86"/>
        <v>2017</v>
      </c>
      <c r="I1029" t="str">
        <f>"Teedu ja Peedu detektiividena : Poolitaja juhtum"</f>
        <v>Teedu ja Peedu detektiividena : Poolitaja juhtum</v>
      </c>
      <c r="J1029" t="str">
        <f>"Lagerspetz, Hille"</f>
        <v>Lagerspetz, Hille</v>
      </c>
      <c r="K1029" t="str">
        <f>"Hea Lugu, Tallinn"</f>
        <v>Hea Lugu, Tallinn</v>
      </c>
      <c r="L1029" t="str">
        <f>""</f>
        <v/>
      </c>
      <c r="M1029" t="str">
        <f>"9789949589500"</f>
        <v>9789949589500</v>
      </c>
    </row>
    <row r="1030" spans="1:13" ht="15">
      <c r="A1030" t="s">
        <v>73</v>
      </c>
      <c r="B1030" t="str">
        <f>"16641"</f>
        <v>16641</v>
      </c>
      <c r="C1030" t="str">
        <f>"2011"</f>
        <v>2011</v>
      </c>
      <c r="D1030" t="str">
        <f>"Ajan takaa : kauemmas katsomisen taidosta"</f>
        <v>Ajan takaa : kauemmas katsomisen taidosta</v>
      </c>
      <c r="E1030" t="str">
        <f t="shared" si="85"/>
        <v>viro</v>
      </c>
      <c r="F1030" t="str">
        <f>""</f>
        <v/>
      </c>
      <c r="G1030" t="str">
        <f>"  täiskasvanud"</f>
        <v xml:space="preserve">  täiskasvanud</v>
      </c>
      <c r="H1030" t="str">
        <f t="shared" si="86"/>
        <v>2017</v>
      </c>
      <c r="I1030" t="str">
        <f>"Võidujooks ajaga"</f>
        <v>Võidujooks ajaga</v>
      </c>
      <c r="J1030" t="str">
        <f>"Seppel, Ly"</f>
        <v>Seppel, Ly</v>
      </c>
      <c r="K1030" t="str">
        <f>"Pilgrim, Tallinn"</f>
        <v>Pilgrim, Tallinn</v>
      </c>
      <c r="L1030" t="str">
        <f>""</f>
        <v/>
      </c>
      <c r="M1030" t="str">
        <f>"9789949571833"</f>
        <v>9789949571833</v>
      </c>
    </row>
    <row r="1031" spans="1:13" ht="15">
      <c r="A1031" t="s">
        <v>97</v>
      </c>
      <c r="B1031" t="str">
        <f>"14906"</f>
        <v>14906</v>
      </c>
      <c r="C1031" t="str">
        <f>"2017"</f>
        <v>2017</v>
      </c>
      <c r="D1031" t="str">
        <f>"Tootoo-vaari ja Tötteröauto"</f>
        <v>Tootoo-vaari ja Tötteröauto</v>
      </c>
      <c r="E1031" t="str">
        <f t="shared" si="85"/>
        <v>viro</v>
      </c>
      <c r="F1031" t="str">
        <f>"pildiraamatud"</f>
        <v>pildiraamatud</v>
      </c>
      <c r="G1031" t="str">
        <f>" lapsed ja noored"</f>
        <v xml:space="preserve"> lapsed ja noored</v>
      </c>
      <c r="H1031" t="str">
        <f t="shared" si="86"/>
        <v>2017</v>
      </c>
      <c r="I1031" t="str">
        <f>"Vanaisa Tootoo ja Tuutuauto"</f>
        <v>Vanaisa Tootoo ja Tuutuauto</v>
      </c>
      <c r="J1031" t="str">
        <f>"Jaanits, Kadri"</f>
        <v>Jaanits, Kadri</v>
      </c>
      <c r="K1031" t="str">
        <f>"Savukeidas, Turku"</f>
        <v>Savukeidas, Turku</v>
      </c>
      <c r="L1031" t="str">
        <f>""</f>
        <v/>
      </c>
      <c r="M1031" t="str">
        <f>"9789522681959"</f>
        <v>9789522681959</v>
      </c>
    </row>
    <row r="1032" spans="1:13" ht="15">
      <c r="A1032" t="s">
        <v>108</v>
      </c>
      <c r="B1032" t="str">
        <f>"15413"</f>
        <v>15413</v>
      </c>
      <c r="C1032" t="str">
        <f>"2017"</f>
        <v>2017</v>
      </c>
      <c r="D1032" t="str">
        <f>"Sorjonen : Loppupeli"</f>
        <v>Sorjonen : Loppupeli</v>
      </c>
      <c r="E1032" t="str">
        <f t="shared" si="85"/>
        <v>viro</v>
      </c>
      <c r="F1032" t="str">
        <f>"romaanid; põnevus- ja krimikirjandus; proosa"</f>
        <v>romaanid; põnevus- ja krimikirjandus; proosa</v>
      </c>
      <c r="G1032" t="str">
        <f>"  täiskasvanud"</f>
        <v xml:space="preserve">  täiskasvanud</v>
      </c>
      <c r="H1032" t="str">
        <f t="shared" si="86"/>
        <v>2017</v>
      </c>
      <c r="I1032" t="str">
        <f>"Piirilinn. 2, Lõppmäng"</f>
        <v>Piirilinn. 2, Lõppmäng</v>
      </c>
      <c r="J1032" t="str">
        <f>"Maripuu, Tiina"</f>
        <v>Maripuu, Tiina</v>
      </c>
      <c r="K1032" t="str">
        <f>"Post Factum, Tallinn"</f>
        <v>Post Factum, Tallinn</v>
      </c>
      <c r="L1032" t="str">
        <f>""</f>
        <v/>
      </c>
      <c r="M1032" t="str">
        <f>"9789949603169"</f>
        <v>9789949603169</v>
      </c>
    </row>
    <row r="1033" spans="1:13" ht="15">
      <c r="A1033" t="s">
        <v>108</v>
      </c>
      <c r="B1033" t="str">
        <f>"15414"</f>
        <v>15414</v>
      </c>
      <c r="C1033" t="str">
        <f>"2016"</f>
        <v>2016</v>
      </c>
      <c r="D1033" t="str">
        <f>"Sorjonen : Nukkekoti"</f>
        <v>Sorjonen : Nukkekoti</v>
      </c>
      <c r="E1033" t="str">
        <f t="shared" si="85"/>
        <v>viro</v>
      </c>
      <c r="F1033" t="str">
        <f>"romaanid; põnevus- ja krimikirjandus; proosa"</f>
        <v>romaanid; põnevus- ja krimikirjandus; proosa</v>
      </c>
      <c r="G1033" t="str">
        <f>"  täiskasvanud"</f>
        <v xml:space="preserve">  täiskasvanud</v>
      </c>
      <c r="H1033" t="str">
        <f t="shared" si="86"/>
        <v>2017</v>
      </c>
      <c r="I1033" t="str">
        <f>"Piirilinn. 1, Nukumaja"</f>
        <v>Piirilinn. 1, Nukumaja</v>
      </c>
      <c r="J1033" t="str">
        <f>"Maripuu, Tiina"</f>
        <v>Maripuu, Tiina</v>
      </c>
      <c r="K1033" t="str">
        <f>"Post Factum, Tallinn"</f>
        <v>Post Factum, Tallinn</v>
      </c>
      <c r="L1033" t="str">
        <f>""</f>
        <v/>
      </c>
      <c r="M1033" t="str">
        <f>"9789949603145"</f>
        <v>9789949603145</v>
      </c>
    </row>
    <row r="1034" spans="1:13" ht="15">
      <c r="A1034" t="s">
        <v>121</v>
      </c>
      <c r="B1034" t="str">
        <f>"14905"</f>
        <v>14905</v>
      </c>
      <c r="C1034" t="str">
        <f>"2014"</f>
        <v>2014</v>
      </c>
      <c r="D1034" t="str">
        <f>"Noora"</f>
        <v>Noora</v>
      </c>
      <c r="E1034" t="str">
        <f t="shared" si="85"/>
        <v>viro</v>
      </c>
      <c r="F1034" t="str">
        <f>"romaanid; põnevus- ja krimikirjandus; proosa"</f>
        <v>romaanid; põnevus- ja krimikirjandus; proosa</v>
      </c>
      <c r="G1034" t="str">
        <f>"  täiskasvanud"</f>
        <v xml:space="preserve">  täiskasvanud</v>
      </c>
      <c r="H1034" t="str">
        <f t="shared" si="86"/>
        <v>2017</v>
      </c>
      <c r="I1034" t="str">
        <f>"Noora"</f>
        <v>Noora</v>
      </c>
      <c r="J1034" t="str">
        <f>"Banhard, Evelin"</f>
        <v>Banhard, Evelin</v>
      </c>
      <c r="K1034" t="str">
        <f>"Pegasus, Tallinn"</f>
        <v>Pegasus, Tallinn</v>
      </c>
      <c r="L1034" t="str">
        <f>""</f>
        <v/>
      </c>
      <c r="M1034" t="str">
        <f>"9789949593446"</f>
        <v>9789949593446</v>
      </c>
    </row>
    <row r="1035" spans="1:13" ht="15">
      <c r="A1035" t="s">
        <v>121</v>
      </c>
      <c r="B1035" t="str">
        <f>"15442"</f>
        <v>15442</v>
      </c>
      <c r="C1035" t="str">
        <f>"2015"</f>
        <v>2015</v>
      </c>
      <c r="D1035" t="str">
        <f>"Venla"</f>
        <v>Venla</v>
      </c>
      <c r="E1035" t="str">
        <f t="shared" si="85"/>
        <v>viro</v>
      </c>
      <c r="F1035" t="str">
        <f>"romaanid; põnevus- ja krimikirjandus; proosa"</f>
        <v>romaanid; põnevus- ja krimikirjandus; proosa</v>
      </c>
      <c r="G1035" t="str">
        <f>"  täiskasvanud"</f>
        <v xml:space="preserve">  täiskasvanud</v>
      </c>
      <c r="H1035" t="str">
        <f t="shared" si="86"/>
        <v>2017</v>
      </c>
      <c r="I1035" t="str">
        <f>"Venla"</f>
        <v>Venla</v>
      </c>
      <c r="J1035" t="str">
        <f>"Banhard, Evelin"</f>
        <v>Banhard, Evelin</v>
      </c>
      <c r="K1035" t="str">
        <f>"Pegasus, Tallinn"</f>
        <v>Pegasus, Tallinn</v>
      </c>
      <c r="L1035" t="str">
        <f>""</f>
        <v/>
      </c>
      <c r="M1035" t="str">
        <f>"9789949593712"</f>
        <v>9789949593712</v>
      </c>
    </row>
    <row r="1036" spans="1:13" ht="15">
      <c r="A1036" t="s">
        <v>158</v>
      </c>
      <c r="B1036" t="str">
        <f>"16640"</f>
        <v>16640</v>
      </c>
      <c r="C1036" t="str">
        <f>"2014"</f>
        <v>2014</v>
      </c>
      <c r="D1036" t="str">
        <f>"Mieletön fiilis : hyvän mielen käsikirja"</f>
        <v>Mieletön fiilis : hyvän mielen käsikirja</v>
      </c>
      <c r="E1036" t="str">
        <f t="shared" si="85"/>
        <v>viro</v>
      </c>
      <c r="F1036" t="str">
        <f>""</f>
        <v/>
      </c>
      <c r="G1036" t="str">
        <f>"  täiskasvanud"</f>
        <v xml:space="preserve">  täiskasvanud</v>
      </c>
      <c r="H1036" t="str">
        <f t="shared" si="86"/>
        <v>2017</v>
      </c>
      <c r="I1036" t="str">
        <f>"Talumatud tunded"</f>
        <v>Talumatud tunded</v>
      </c>
      <c r="J1036" t="str">
        <f>"Mõistlik, Margit"</f>
        <v>Mõistlik, Margit</v>
      </c>
      <c r="K1036" t="str">
        <f>"Menu, Tallinn"</f>
        <v>Menu, Tallinn</v>
      </c>
      <c r="L1036" t="str">
        <f>""</f>
        <v/>
      </c>
      <c r="M1036" t="str">
        <f>"9789949549740"</f>
        <v>9789949549740</v>
      </c>
    </row>
    <row r="1037" spans="1:13" ht="15">
      <c r="A1037" t="s">
        <v>183</v>
      </c>
      <c r="B1037" t="str">
        <f>"13837"</f>
        <v>13837</v>
      </c>
      <c r="C1037" t="str">
        <f>"2016"</f>
        <v>2016</v>
      </c>
      <c r="D1037" t="str">
        <f>"Lopotti"</f>
        <v>Lopotti</v>
      </c>
      <c r="E1037" t="str">
        <f t="shared" si="85"/>
        <v>viro</v>
      </c>
      <c r="F1037" t="str">
        <f>"romaanid; proosa"</f>
        <v>romaanid; proosa</v>
      </c>
      <c r="G1037" t="str">
        <f>"  täiskasvanud"</f>
        <v xml:space="preserve">  täiskasvanud</v>
      </c>
      <c r="H1037" t="str">
        <f t="shared" si="86"/>
        <v>2017</v>
      </c>
      <c r="I1037" t="str">
        <f>"Peraküla"</f>
        <v>Peraküla</v>
      </c>
      <c r="J1037" t="str">
        <f>"Kaus, Jan"</f>
        <v>Kaus, Jan</v>
      </c>
      <c r="K1037" t="str">
        <f>"Varrak, Tallinn"</f>
        <v>Varrak, Tallinn</v>
      </c>
      <c r="L1037" t="str">
        <f>""</f>
        <v/>
      </c>
      <c r="M1037" t="str">
        <f>"978-9985-3-4160-5"</f>
        <v>978-9985-3-4160-5</v>
      </c>
    </row>
    <row r="1038" spans="1:13" ht="15">
      <c r="A1038" t="s">
        <v>198</v>
      </c>
      <c r="B1038" t="str">
        <f>"14461"</f>
        <v>14461</v>
      </c>
      <c r="C1038" t="str">
        <f>"2012"</f>
        <v>2012</v>
      </c>
      <c r="D1038" t="str">
        <f>"Roskasakki ja kadonnut kulkunen"</f>
        <v>Roskasakki ja kadonnut kulkunen</v>
      </c>
      <c r="E1038" t="str">
        <f t="shared" si="85"/>
        <v>viro</v>
      </c>
      <c r="F1038" t="str">
        <f>"pildiraamatud; muinasjutud"</f>
        <v>pildiraamatud; muinasjutud</v>
      </c>
      <c r="G1038" t="str">
        <f>" lapsed ja noored"</f>
        <v xml:space="preserve"> lapsed ja noored</v>
      </c>
      <c r="H1038" t="str">
        <f t="shared" si="86"/>
        <v>2017</v>
      </c>
      <c r="I1038" t="str">
        <f>"Prügikamp ja kadunud kelluke"</f>
        <v>Prügikamp ja kadunud kelluke</v>
      </c>
      <c r="J1038" t="str">
        <f>"Hennoste, Juta"</f>
        <v>Hennoste, Juta</v>
      </c>
      <c r="K1038" t="str">
        <f>"Studium, Tartu"</f>
        <v>Studium, Tartu</v>
      </c>
      <c r="L1038" t="str">
        <f>""</f>
        <v/>
      </c>
      <c r="M1038" t="str">
        <f>"9789949506552"</f>
        <v>9789949506552</v>
      </c>
    </row>
    <row r="1039" spans="1:13" ht="15">
      <c r="A1039" t="s">
        <v>215</v>
      </c>
      <c r="B1039" t="str">
        <f>"16180"</f>
        <v>16180</v>
      </c>
      <c r="C1039" t="str">
        <f>"2016"</f>
        <v>2016</v>
      </c>
      <c r="D1039" t="str">
        <f>"Suomenlahden suhdekirja : uudet vaaran vuodet"</f>
        <v>Suomenlahden suhdekirja : uudet vaaran vuodet</v>
      </c>
      <c r="E1039" t="str">
        <f t="shared" si="85"/>
        <v>viro</v>
      </c>
      <c r="F1039" t="str">
        <f>""</f>
        <v/>
      </c>
      <c r="G1039" t="str">
        <f>"  täiskasvanud"</f>
        <v xml:space="preserve">  täiskasvanud</v>
      </c>
      <c r="H1039" t="str">
        <f t="shared" si="86"/>
        <v>2017</v>
      </c>
      <c r="I1039" t="str">
        <f>"Ülelahe suhteraamat"</f>
        <v>Ülelahe suhteraamat</v>
      </c>
      <c r="J1039" t="str">
        <f>"Maripuu, Tiina"</f>
        <v>Maripuu, Tiina</v>
      </c>
      <c r="K1039" t="str">
        <f>"Post Factum, Tallinn"</f>
        <v>Post Factum, Tallinn</v>
      </c>
      <c r="L1039" t="str">
        <f>""</f>
        <v/>
      </c>
      <c r="M1039" t="str">
        <f>"978-9949-603-03-9"</f>
        <v>978-9949-603-03-9</v>
      </c>
    </row>
    <row r="1040" spans="1:13" ht="15">
      <c r="A1040" t="s">
        <v>220</v>
      </c>
      <c r="B1040" t="str">
        <f>"13705"</f>
        <v>13705</v>
      </c>
      <c r="C1040" t="str">
        <f>"2003"</f>
        <v>2003</v>
      </c>
      <c r="D1040" t="str">
        <f>"Onnelin ja Annelin kootut kertomukset"</f>
        <v>Onnelin ja Annelin kootut kertomukset</v>
      </c>
      <c r="E1040" t="str">
        <f aca="true" t="shared" si="87" ref="E1040:E1071">"viro"</f>
        <v>viro</v>
      </c>
      <c r="F1040" t="str">
        <f>"romaanid; proosa"</f>
        <v>romaanid; proosa</v>
      </c>
      <c r="G1040" t="str">
        <f>" lapsed ja noored"</f>
        <v xml:space="preserve"> lapsed ja noored</v>
      </c>
      <c r="H1040" t="str">
        <f t="shared" si="86"/>
        <v>2017</v>
      </c>
      <c r="I1040" t="str">
        <f>"Õnneli ja Anneli"</f>
        <v>Õnneli ja Anneli</v>
      </c>
      <c r="J1040" t="str">
        <f>"Kass, Kristiina"</f>
        <v>Kass, Kristiina</v>
      </c>
      <c r="K1040" t="str">
        <f>"Sinisukk, Tallinn"</f>
        <v>Sinisukk, Tallinn</v>
      </c>
      <c r="L1040" t="str">
        <f>""</f>
        <v/>
      </c>
      <c r="M1040" t="str">
        <f>"978-9949-34-568-7"</f>
        <v>978-9949-34-568-7</v>
      </c>
    </row>
    <row r="1041" spans="1:13" ht="15">
      <c r="A1041" t="s">
        <v>224</v>
      </c>
      <c r="B1041" t="str">
        <f>"15351"</f>
        <v>15351</v>
      </c>
      <c r="C1041" t="str">
        <f>"2014"</f>
        <v>2014</v>
      </c>
      <c r="D1041" t="str">
        <f>"Ilosia aikoja, Mielensäpahoittaja!"</f>
        <v>Ilosia aikoja, Mielensäpahoittaja!</v>
      </c>
      <c r="E1041" t="str">
        <f t="shared" si="87"/>
        <v>viro</v>
      </c>
      <c r="F1041" t="str">
        <f>"romaanid; proosa"</f>
        <v>romaanid; proosa</v>
      </c>
      <c r="G1041" t="str">
        <f>"  täiskasvanud"</f>
        <v xml:space="preserve">  täiskasvanud</v>
      </c>
      <c r="H1041" t="str">
        <f t="shared" si="86"/>
        <v>2017</v>
      </c>
      <c r="I1041" t="str">
        <f>"Kõike head, Toriseja!"</f>
        <v>Kõike head, Toriseja!</v>
      </c>
      <c r="J1041" t="str">
        <f>"Jaanits, Kadri"</f>
        <v>Jaanits, Kadri</v>
      </c>
      <c r="K1041" t="str">
        <f>"Varrak, Tallinn"</f>
        <v>Varrak, Tallinn</v>
      </c>
      <c r="L1041" t="str">
        <f>""</f>
        <v/>
      </c>
      <c r="M1041" t="str">
        <f>"9789985340622"</f>
        <v>9789985340622</v>
      </c>
    </row>
    <row r="1042" spans="1:13" ht="15">
      <c r="A1042" t="s">
        <v>226</v>
      </c>
      <c r="B1042" t="str">
        <f>"13722"</f>
        <v>13722</v>
      </c>
      <c r="C1042" t="str">
        <f>"2014"</f>
        <v>2014</v>
      </c>
      <c r="D1042" t="str">
        <f>"Graniittimies"</f>
        <v>Graniittimies</v>
      </c>
      <c r="E1042" t="str">
        <f t="shared" si="87"/>
        <v>viro</v>
      </c>
      <c r="F1042" t="str">
        <f>"romaanid; proosa"</f>
        <v>romaanid; proosa</v>
      </c>
      <c r="G1042" t="str">
        <f>"  täiskasvanud"</f>
        <v xml:space="preserve">  täiskasvanud</v>
      </c>
      <c r="H1042" t="str">
        <f t="shared" si="86"/>
        <v>2017</v>
      </c>
      <c r="I1042" t="str">
        <f>"Graniitmees"</f>
        <v>Graniitmees</v>
      </c>
      <c r="J1042" t="str">
        <f>"Saluri, Piret"</f>
        <v>Saluri, Piret</v>
      </c>
      <c r="K1042" t="str">
        <f>"Varrak, Tallinn"</f>
        <v>Varrak, Tallinn</v>
      </c>
      <c r="L1042" t="str">
        <f>""</f>
        <v/>
      </c>
      <c r="M1042" t="str">
        <f>"978-9985-3-4040-7"</f>
        <v>978-9985-3-4040-7</v>
      </c>
    </row>
    <row r="1043" spans="1:13" ht="15">
      <c r="A1043" t="s">
        <v>231</v>
      </c>
      <c r="B1043" t="str">
        <f>"15642"</f>
        <v>15642</v>
      </c>
      <c r="C1043" t="str">
        <f>""</f>
        <v/>
      </c>
      <c r="D1043" t="str">
        <f>""</f>
        <v/>
      </c>
      <c r="E1043" t="str">
        <f t="shared" si="87"/>
        <v>viro</v>
      </c>
      <c r="F1043" t="str">
        <f>"luule, lüürika"</f>
        <v>luule, lüürika</v>
      </c>
      <c r="G1043" t="str">
        <f>"  täiskasvanud"</f>
        <v xml:space="preserve">  täiskasvanud</v>
      </c>
      <c r="H1043" t="str">
        <f t="shared" si="86"/>
        <v>2017</v>
      </c>
      <c r="I1043" t="str">
        <f>"Ole ise"</f>
        <v>Ole ise</v>
      </c>
      <c r="J1043" t="str">
        <f>"Kokla, Järvi"</f>
        <v>Kokla, Järvi</v>
      </c>
      <c r="K1043" t="str">
        <f>"EKSA, Tallinn"</f>
        <v>EKSA, Tallinn</v>
      </c>
      <c r="L1043" t="str">
        <f>""</f>
        <v/>
      </c>
      <c r="M1043" t="str">
        <f>"978-9949-604-24-1"</f>
        <v>978-9949-604-24-1</v>
      </c>
    </row>
    <row r="1044" spans="1:13" ht="15">
      <c r="A1044" t="s">
        <v>249</v>
      </c>
      <c r="B1044" t="str">
        <f>"13861"</f>
        <v>13861</v>
      </c>
      <c r="C1044" t="str">
        <f>"1994"</f>
        <v>1994</v>
      </c>
      <c r="D1044" t="str">
        <f>"Harmin paikka"</f>
        <v>Harmin paikka</v>
      </c>
      <c r="E1044" t="str">
        <f t="shared" si="87"/>
        <v>viro</v>
      </c>
      <c r="F1044" t="str">
        <f>"romaanid; põnevus- ja krimikirjandus; proosa"</f>
        <v>romaanid; põnevus- ja krimikirjandus; proosa</v>
      </c>
      <c r="G1044" t="str">
        <f>"  täiskasvanud"</f>
        <v xml:space="preserve">  täiskasvanud</v>
      </c>
      <c r="H1044" t="str">
        <f t="shared" si="86"/>
        <v>2017</v>
      </c>
      <c r="I1044" t="str">
        <f>"Kiusatute kaitsja"</f>
        <v>Kiusatute kaitsja</v>
      </c>
      <c r="J1044" t="str">
        <f>"Aimla-Laid, Triin"</f>
        <v>Aimla-Laid, Triin</v>
      </c>
      <c r="K1044" t="str">
        <f>"Pegasus, Tallinn"</f>
        <v>Pegasus, Tallinn</v>
      </c>
      <c r="L1044" t="str">
        <f>""</f>
        <v/>
      </c>
      <c r="M1044" t="str">
        <f>"978-9949-593-81-1"</f>
        <v>978-9949-593-81-1</v>
      </c>
    </row>
    <row r="1045" spans="1:13" ht="15">
      <c r="A1045" t="s">
        <v>279</v>
      </c>
      <c r="B1045" t="str">
        <f>"16716"</f>
        <v>16716</v>
      </c>
      <c r="C1045" t="str">
        <f>"2017"</f>
        <v>2017</v>
      </c>
      <c r="D1045" t="str">
        <f>"Hello Ruby : Journey inside the computer"</f>
        <v>Hello Ruby : Journey inside the computer</v>
      </c>
      <c r="E1045" t="str">
        <f t="shared" si="87"/>
        <v>viro</v>
      </c>
      <c r="F1045" t="str">
        <f>""</f>
        <v/>
      </c>
      <c r="G1045" t="str">
        <f>" lapsed ja noored"</f>
        <v xml:space="preserve"> lapsed ja noored</v>
      </c>
      <c r="H1045" t="str">
        <f t="shared" si="86"/>
        <v>2017</v>
      </c>
      <c r="I1045" t="str">
        <f>"Tere, Ruby! : teekond arvuti sisemusse"</f>
        <v>Tere, Ruby! : teekond arvuti sisemusse</v>
      </c>
      <c r="J1045" t="str">
        <f>"Hinrikson, Hels"</f>
        <v>Hinrikson, Hels</v>
      </c>
      <c r="K1045" t="str">
        <f>"Hea Lugu, Tallinn"</f>
        <v>Hea Lugu, Tallinn</v>
      </c>
      <c r="L1045" t="str">
        <f>""</f>
        <v/>
      </c>
      <c r="M1045" t="str">
        <f>"9789949589470"</f>
        <v>9789949589470</v>
      </c>
    </row>
    <row r="1046" spans="1:13" ht="15">
      <c r="A1046" t="s">
        <v>298</v>
      </c>
      <c r="B1046" t="str">
        <f>"15262"</f>
        <v>15262</v>
      </c>
      <c r="C1046" t="str">
        <f>"1995"</f>
        <v>1995</v>
      </c>
      <c r="D1046" t="str">
        <f>"Stenvallin tapaus : salapoliisiseikkailu vuoden 1873 Helsingissä"</f>
        <v>Stenvallin tapaus : salapoliisiseikkailu vuoden 1873 Helsingissä</v>
      </c>
      <c r="E1046" t="str">
        <f t="shared" si="87"/>
        <v>viro</v>
      </c>
      <c r="F1046" t="str">
        <f>"romaanid; põnevus- ja krimikirjandus; proosa"</f>
        <v>romaanid; põnevus- ja krimikirjandus; proosa</v>
      </c>
      <c r="G1046" t="str">
        <f>"  täiskasvanud"</f>
        <v xml:space="preserve">  täiskasvanud</v>
      </c>
      <c r="H1046" t="str">
        <f t="shared" si="86"/>
        <v>2017</v>
      </c>
      <c r="I1046" t="str">
        <f>"Stenvalli juhtum"</f>
        <v>Stenvalli juhtum</v>
      </c>
      <c r="J1046" t="str">
        <f>"Paikre, Ants"</f>
        <v>Paikre, Ants</v>
      </c>
      <c r="K1046" t="str">
        <f>"NyNorden, Tallinn"</f>
        <v>NyNorden, Tallinn</v>
      </c>
      <c r="L1046" t="str">
        <f>""</f>
        <v/>
      </c>
      <c r="M1046" t="str">
        <f>"978-9949-9600-6-4"</f>
        <v>978-9949-9600-6-4</v>
      </c>
    </row>
    <row r="1047" spans="1:13" ht="15">
      <c r="A1047" t="s">
        <v>323</v>
      </c>
      <c r="B1047" t="str">
        <f>"13784"</f>
        <v>13784</v>
      </c>
      <c r="C1047" t="str">
        <f>"2016"</f>
        <v>2016</v>
      </c>
      <c r="D1047" t="str">
        <f>"Hot dog"</f>
        <v>Hot dog</v>
      </c>
      <c r="E1047" t="str">
        <f t="shared" si="87"/>
        <v>viro</v>
      </c>
      <c r="F1047" t="str">
        <f>"romaanid; põnevus- ja krimikirjandus; proosa"</f>
        <v>romaanid; põnevus- ja krimikirjandus; proosa</v>
      </c>
      <c r="G1047" t="str">
        <f>"  täiskasvanud"</f>
        <v xml:space="preserve">  täiskasvanud</v>
      </c>
      <c r="H1047" t="str">
        <f t="shared" si="86"/>
        <v>2017</v>
      </c>
      <c r="I1047" t="str">
        <f>"Hot Dog"</f>
        <v>Hot Dog</v>
      </c>
      <c r="J1047" t="str">
        <f>"Ringeveld, Katrin"</f>
        <v>Ringeveld, Katrin</v>
      </c>
      <c r="K1047" t="str">
        <f>"Eesti Raamat, Tallinn"</f>
        <v>Eesti Raamat, Tallinn</v>
      </c>
      <c r="L1047" t="str">
        <f>""</f>
        <v/>
      </c>
      <c r="M1047" t="str">
        <f>"9789949596164"</f>
        <v>9789949596164</v>
      </c>
    </row>
    <row r="1048" spans="1:13" ht="15">
      <c r="A1048" t="s">
        <v>331</v>
      </c>
      <c r="B1048" t="str">
        <f>"14904"</f>
        <v>14904</v>
      </c>
      <c r="C1048" t="str">
        <f>""</f>
        <v/>
      </c>
      <c r="D1048" t="str">
        <f>"Siiri ja kadonnut tähti ; Siiri ja kolme Ottoa ; Siiri ja hurja hunskeli"</f>
        <v>Siiri ja kadonnut tähti ; Siiri ja kolme Ottoa ; Siiri ja hurja hunskeli</v>
      </c>
      <c r="E1048" t="str">
        <f t="shared" si="87"/>
        <v>viro</v>
      </c>
      <c r="F1048" t="str">
        <f>"pildiraamatud"</f>
        <v>pildiraamatud</v>
      </c>
      <c r="G1048" t="str">
        <f>" lapsed ja noored"</f>
        <v xml:space="preserve"> lapsed ja noored</v>
      </c>
      <c r="H1048" t="str">
        <f t="shared" si="86"/>
        <v>2017</v>
      </c>
      <c r="I1048" t="str">
        <f>"Siiri lood"</f>
        <v>Siiri lood</v>
      </c>
      <c r="J1048" t="str">
        <f>"Sillaste-Toots, Liis"</f>
        <v>Sillaste-Toots, Liis</v>
      </c>
      <c r="K1048" t="str">
        <f>"Egmont Estonia, Tallinn"</f>
        <v>Egmont Estonia, Tallinn</v>
      </c>
      <c r="L1048" t="str">
        <f>""</f>
        <v/>
      </c>
      <c r="M1048" t="str">
        <f>"9789949780716"</f>
        <v>9789949780716</v>
      </c>
    </row>
    <row r="1049" spans="1:13" ht="15">
      <c r="A1049" t="s">
        <v>339</v>
      </c>
      <c r="B1049" t="str">
        <f>"13943"</f>
        <v>13943</v>
      </c>
      <c r="C1049" t="str">
        <f>"2015"</f>
        <v>2015</v>
      </c>
      <c r="D1049" t="str">
        <f>"Viimeinen juna Moskovaan"</f>
        <v>Viimeinen juna Moskovaan</v>
      </c>
      <c r="E1049" t="str">
        <f t="shared" si="87"/>
        <v>viro</v>
      </c>
      <c r="F1049" t="str">
        <f>""</f>
        <v/>
      </c>
      <c r="G1049" t="str">
        <f>"  täiskasvanud"</f>
        <v xml:space="preserve">  täiskasvanud</v>
      </c>
      <c r="H1049" t="str">
        <f aca="true" t="shared" si="88" ref="H1049:H1078">"2017"</f>
        <v>2017</v>
      </c>
      <c r="I1049" t="str">
        <f>"Viimane rong Moskvasse"</f>
        <v>Viimane rong Moskvasse</v>
      </c>
      <c r="J1049" t="str">
        <f>"Saluri, Piret"</f>
        <v>Saluri, Piret</v>
      </c>
      <c r="K1049" t="str">
        <f>"Argo, Tallinn"</f>
        <v>Argo, Tallinn</v>
      </c>
      <c r="L1049" t="str">
        <f>""</f>
        <v/>
      </c>
      <c r="M1049" t="str">
        <f>"978-9949-527-96-0"</f>
        <v>978-9949-527-96-0</v>
      </c>
    </row>
    <row r="1050" spans="1:13" ht="15">
      <c r="A1050" t="s">
        <v>341</v>
      </c>
      <c r="B1050" t="str">
        <f>"16180"</f>
        <v>16180</v>
      </c>
      <c r="C1050" t="str">
        <f>"2016"</f>
        <v>2016</v>
      </c>
      <c r="D1050" t="str">
        <f>"Suomenlahden suhdekirja : uudet vaaran vuodet"</f>
        <v>Suomenlahden suhdekirja : uudet vaaran vuodet</v>
      </c>
      <c r="E1050" t="str">
        <f t="shared" si="87"/>
        <v>viro</v>
      </c>
      <c r="F1050" t="str">
        <f>""</f>
        <v/>
      </c>
      <c r="G1050" t="str">
        <f>"  täiskasvanud"</f>
        <v xml:space="preserve">  täiskasvanud</v>
      </c>
      <c r="H1050" t="str">
        <f t="shared" si="88"/>
        <v>2017</v>
      </c>
      <c r="I1050" t="str">
        <f>"Ülelahe suhteraamat"</f>
        <v>Ülelahe suhteraamat</v>
      </c>
      <c r="J1050" t="str">
        <f>"Maripuu, Tiina"</f>
        <v>Maripuu, Tiina</v>
      </c>
      <c r="K1050" t="str">
        <f>"Post Factum, Tallinn"</f>
        <v>Post Factum, Tallinn</v>
      </c>
      <c r="L1050" t="str">
        <f>""</f>
        <v/>
      </c>
      <c r="M1050" t="str">
        <f>"978-9949-603-03-9"</f>
        <v>978-9949-603-03-9</v>
      </c>
    </row>
    <row r="1051" spans="1:13" ht="15">
      <c r="A1051" t="s">
        <v>348</v>
      </c>
      <c r="B1051" t="str">
        <f>"13586"</f>
        <v>13586</v>
      </c>
      <c r="C1051" t="str">
        <f>"2015"</f>
        <v>2015</v>
      </c>
      <c r="D1051" t="str">
        <f>"Musta satu"</f>
        <v>Musta satu</v>
      </c>
      <c r="E1051" t="str">
        <f t="shared" si="87"/>
        <v>viro</v>
      </c>
      <c r="F1051" t="str">
        <f>"romaanid; proosa"</f>
        <v>romaanid; proosa</v>
      </c>
      <c r="G1051" t="str">
        <f>"  täiskasvanud"</f>
        <v xml:space="preserve">  täiskasvanud</v>
      </c>
      <c r="H1051" t="str">
        <f t="shared" si="88"/>
        <v>2017</v>
      </c>
      <c r="I1051" t="str">
        <f>"Must muinasjutt"</f>
        <v>Must muinasjutt</v>
      </c>
      <c r="J1051" t="str">
        <f>"Mõisnik, Mihkel"</f>
        <v>Mõisnik, Mihkel</v>
      </c>
      <c r="K1051" t="str">
        <f>"Loomingu raamatukogu, Tallinn"</f>
        <v>Loomingu raamatukogu, Tallinn</v>
      </c>
      <c r="L1051" t="str">
        <f>""</f>
        <v/>
      </c>
      <c r="M1051" t="str">
        <f>"9789949563678 (epub)"</f>
        <v>9789949563678 (epub)</v>
      </c>
    </row>
    <row r="1052" spans="1:13" ht="15">
      <c r="A1052" t="s">
        <v>362</v>
      </c>
      <c r="B1052" t="str">
        <f>"16638"</f>
        <v>16638</v>
      </c>
      <c r="C1052" t="str">
        <f>"2017"</f>
        <v>2017</v>
      </c>
      <c r="D1052" t="str">
        <f>"Kalat : Lasten eläinkirja"</f>
        <v>Kalat : Lasten eläinkirja</v>
      </c>
      <c r="E1052" t="str">
        <f t="shared" si="87"/>
        <v>viro</v>
      </c>
      <c r="F1052" t="str">
        <f>""</f>
        <v/>
      </c>
      <c r="G1052" t="str">
        <f>" lapsed ja noored"</f>
        <v xml:space="preserve"> lapsed ja noored</v>
      </c>
      <c r="H1052" t="str">
        <f t="shared" si="88"/>
        <v>2017</v>
      </c>
      <c r="I1052" t="str">
        <f>"Kalad"</f>
        <v>Kalad</v>
      </c>
      <c r="J1052" t="str">
        <f>"Blum, Aivo"</f>
        <v>Blum, Aivo</v>
      </c>
      <c r="K1052" t="str">
        <f>"H. Vilep, Tartu"</f>
        <v>H. Vilep, Tartu</v>
      </c>
      <c r="L1052" t="str">
        <f>""</f>
        <v/>
      </c>
      <c r="M1052" t="str">
        <f>"9789949981076"</f>
        <v>9789949981076</v>
      </c>
    </row>
    <row r="1053" spans="1:13" ht="15">
      <c r="A1053" t="s">
        <v>362</v>
      </c>
      <c r="B1053" t="str">
        <f>"16636"</f>
        <v>16636</v>
      </c>
      <c r="C1053" t="str">
        <f>"2017"</f>
        <v>2017</v>
      </c>
      <c r="D1053" t="str">
        <f>"Linnut : Lasten eläinkirja"</f>
        <v>Linnut : Lasten eläinkirja</v>
      </c>
      <c r="E1053" t="str">
        <f t="shared" si="87"/>
        <v>viro</v>
      </c>
      <c r="F1053" t="str">
        <f>""</f>
        <v/>
      </c>
      <c r="G1053" t="str">
        <f>" lapsed ja noored"</f>
        <v xml:space="preserve"> lapsed ja noored</v>
      </c>
      <c r="H1053" t="str">
        <f t="shared" si="88"/>
        <v>2017</v>
      </c>
      <c r="I1053" t="str">
        <f>"Linnud"</f>
        <v>Linnud</v>
      </c>
      <c r="J1053" t="str">
        <f>"Blum, Aivo"</f>
        <v>Blum, Aivo</v>
      </c>
      <c r="K1053" t="str">
        <f>"H. Vilep, Tartu"</f>
        <v>H. Vilep, Tartu</v>
      </c>
      <c r="L1053" t="str">
        <f>""</f>
        <v/>
      </c>
      <c r="M1053" t="str">
        <f>"9789949981083"</f>
        <v>9789949981083</v>
      </c>
    </row>
    <row r="1054" spans="1:13" ht="15">
      <c r="A1054" t="s">
        <v>362</v>
      </c>
      <c r="B1054" t="str">
        <f>"16635"</f>
        <v>16635</v>
      </c>
      <c r="C1054" t="str">
        <f>"2017"</f>
        <v>2017</v>
      </c>
      <c r="D1054" t="str">
        <f>"Nisäkkäät : Lasten eläinkirja"</f>
        <v>Nisäkkäät : Lasten eläinkirja</v>
      </c>
      <c r="E1054" t="str">
        <f t="shared" si="87"/>
        <v>viro</v>
      </c>
      <c r="F1054" t="str">
        <f>""</f>
        <v/>
      </c>
      <c r="G1054" t="str">
        <f>" lapsed ja noored"</f>
        <v xml:space="preserve"> lapsed ja noored</v>
      </c>
      <c r="H1054" t="str">
        <f t="shared" si="88"/>
        <v>2017</v>
      </c>
      <c r="I1054" t="str">
        <f>"Imetajad"</f>
        <v>Imetajad</v>
      </c>
      <c r="J1054" t="str">
        <f>"Blum, Aivo"</f>
        <v>Blum, Aivo</v>
      </c>
      <c r="K1054" t="str">
        <f>"H. Vilep, Tartu"</f>
        <v>H. Vilep, Tartu</v>
      </c>
      <c r="L1054" t="str">
        <f>""</f>
        <v/>
      </c>
      <c r="M1054" t="str">
        <f>"9789949981069"</f>
        <v>9789949981069</v>
      </c>
    </row>
    <row r="1055" spans="1:13" ht="15">
      <c r="A1055" t="s">
        <v>362</v>
      </c>
      <c r="B1055" t="str">
        <f>"16639"</f>
        <v>16639</v>
      </c>
      <c r="C1055" t="str">
        <f>"2017"</f>
        <v>2017</v>
      </c>
      <c r="D1055" t="str">
        <f>"Niveljalkaiset ja nilviäiset : Lasten eläinkirja"</f>
        <v>Niveljalkaiset ja nilviäiset : Lasten eläinkirja</v>
      </c>
      <c r="E1055" t="str">
        <f t="shared" si="87"/>
        <v>viro</v>
      </c>
      <c r="F1055" t="str">
        <f>""</f>
        <v/>
      </c>
      <c r="G1055" t="str">
        <f>" lapsed ja noored"</f>
        <v xml:space="preserve"> lapsed ja noored</v>
      </c>
      <c r="H1055" t="str">
        <f t="shared" si="88"/>
        <v>2017</v>
      </c>
      <c r="I1055" t="str">
        <f>"Lülijalgsed ja molluskid"</f>
        <v>Lülijalgsed ja molluskid</v>
      </c>
      <c r="J1055" t="str">
        <f>"Blum, Aivo"</f>
        <v>Blum, Aivo</v>
      </c>
      <c r="K1055" t="str">
        <f>"H. Vilep, Tartu"</f>
        <v>H. Vilep, Tartu</v>
      </c>
      <c r="L1055" t="str">
        <f>""</f>
        <v/>
      </c>
      <c r="M1055" t="str">
        <f>"9789949720507"</f>
        <v>9789949720507</v>
      </c>
    </row>
    <row r="1056" spans="1:13" ht="15">
      <c r="A1056" t="s">
        <v>362</v>
      </c>
      <c r="B1056" t="str">
        <f>"16637"</f>
        <v>16637</v>
      </c>
      <c r="C1056" t="str">
        <f>"2017"</f>
        <v>2017</v>
      </c>
      <c r="D1056" t="str">
        <f>"Sammakkoeläimet ja matelijat : Lasten eläinkirja"</f>
        <v>Sammakkoeläimet ja matelijat : Lasten eläinkirja</v>
      </c>
      <c r="E1056" t="str">
        <f t="shared" si="87"/>
        <v>viro</v>
      </c>
      <c r="F1056" t="str">
        <f>""</f>
        <v/>
      </c>
      <c r="G1056" t="str">
        <f>" lapsed ja noored"</f>
        <v xml:space="preserve"> lapsed ja noored</v>
      </c>
      <c r="H1056" t="str">
        <f t="shared" si="88"/>
        <v>2017</v>
      </c>
      <c r="I1056" t="str">
        <f>"Kahepaiksed ja roomajad"</f>
        <v>Kahepaiksed ja roomajad</v>
      </c>
      <c r="J1056" t="str">
        <f>"Blum, Aivo"</f>
        <v>Blum, Aivo</v>
      </c>
      <c r="K1056" t="str">
        <f>"H. Vilep, Tartu"</f>
        <v>H. Vilep, Tartu</v>
      </c>
      <c r="L1056" t="str">
        <f>""</f>
        <v/>
      </c>
      <c r="M1056" t="str">
        <f>"9789949720514"</f>
        <v>9789949720514</v>
      </c>
    </row>
    <row r="1057" spans="1:13" ht="15">
      <c r="A1057" t="s">
        <v>367</v>
      </c>
      <c r="B1057" t="str">
        <f>"15311"</f>
        <v>15311</v>
      </c>
      <c r="C1057" t="str">
        <f>"2006"</f>
        <v>2006</v>
      </c>
      <c r="D1057" t="str">
        <f>"Ella : varokaa lapsia!"</f>
        <v>Ella : varokaa lapsia!</v>
      </c>
      <c r="E1057" t="str">
        <f t="shared" si="87"/>
        <v>viro</v>
      </c>
      <c r="F1057" t="str">
        <f>"proosa"</f>
        <v>proosa</v>
      </c>
      <c r="G1057" t="str">
        <f>" lapsed ja noored"</f>
        <v xml:space="preserve"> lapsed ja noored</v>
      </c>
      <c r="H1057" t="str">
        <f t="shared" si="88"/>
        <v>2017</v>
      </c>
      <c r="I1057" t="str">
        <f>"Ella : ettevaatust! Lapsed!"</f>
        <v>Ella : ettevaatust! Lapsed!</v>
      </c>
      <c r="J1057" t="str">
        <f>"Arder, Elisabeth"</f>
        <v>Arder, Elisabeth</v>
      </c>
      <c r="K1057" t="str">
        <f>"Ajakirjade Kirjastus, Tallinn"</f>
        <v>Ajakirjade Kirjastus, Tallinn</v>
      </c>
      <c r="L1057" t="str">
        <f>""</f>
        <v/>
      </c>
      <c r="M1057" t="str">
        <f>"9789949393558"</f>
        <v>9789949393558</v>
      </c>
    </row>
    <row r="1058" spans="1:13" ht="15">
      <c r="A1058" t="s">
        <v>367</v>
      </c>
      <c r="B1058" t="str">
        <f>"15022"</f>
        <v>15022</v>
      </c>
      <c r="C1058" t="str">
        <f>"2016"</f>
        <v>2016</v>
      </c>
      <c r="D1058" t="str">
        <f>"Kepler62. Kirja kolme, Matka"</f>
        <v>Kepler62. Kirja kolme, Matka</v>
      </c>
      <c r="E1058" t="str">
        <f t="shared" si="87"/>
        <v>viro</v>
      </c>
      <c r="F1058" t="str">
        <f>"romaanid; tieteiskirjallisuus; proosa"</f>
        <v>romaanid; tieteiskirjallisuus; proosa</v>
      </c>
      <c r="G1058" t="str">
        <f>" lapsed ja noored"</f>
        <v xml:space="preserve"> lapsed ja noored</v>
      </c>
      <c r="H1058" t="str">
        <f t="shared" si="88"/>
        <v>2017</v>
      </c>
      <c r="I1058" t="str">
        <f>"Kepler62. Kolmas raamat, Reis"</f>
        <v>Kepler62. Kolmas raamat, Reis</v>
      </c>
      <c r="J1058" t="str">
        <f>"Kooli, Rain"</f>
        <v>Kooli, Rain</v>
      </c>
      <c r="K1058" t="str">
        <f>"Ajakirjade Kirjastus, Tallinn"</f>
        <v>Ajakirjade Kirjastus, Tallinn</v>
      </c>
      <c r="L1058" t="str">
        <f>""</f>
        <v/>
      </c>
      <c r="M1058" t="str">
        <f>"9789949393213"</f>
        <v>9789949393213</v>
      </c>
    </row>
    <row r="1059" spans="1:13" ht="15">
      <c r="A1059" t="s">
        <v>367</v>
      </c>
      <c r="B1059" t="str">
        <f>"15310"</f>
        <v>15310</v>
      </c>
      <c r="C1059" t="str">
        <f>"2015"</f>
        <v>2015</v>
      </c>
      <c r="D1059" t="str">
        <f>"Paten jalkapallokirja"</f>
        <v>Paten jalkapallokirja</v>
      </c>
      <c r="E1059" t="str">
        <f t="shared" si="87"/>
        <v>viro</v>
      </c>
      <c r="F1059" t="str">
        <f>"proosa"</f>
        <v>proosa</v>
      </c>
      <c r="G1059" t="str">
        <f>" lapsed ja noored"</f>
        <v xml:space="preserve"> lapsed ja noored</v>
      </c>
      <c r="H1059" t="str">
        <f t="shared" si="88"/>
        <v>2017</v>
      </c>
      <c r="I1059" t="str">
        <f>"Pate jalgpalliraamat"</f>
        <v>Pate jalgpalliraamat</v>
      </c>
      <c r="J1059" t="str">
        <f>"Arder, Elisabeth"</f>
        <v>Arder, Elisabeth</v>
      </c>
      <c r="K1059" t="str">
        <f>"Ajakirjade Kirjastus, Tallinn"</f>
        <v>Ajakirjade Kirjastus, Tallinn</v>
      </c>
      <c r="L1059" t="str">
        <f>""</f>
        <v/>
      </c>
      <c r="M1059" t="str">
        <f>"9789949392780"</f>
        <v>9789949392780</v>
      </c>
    </row>
    <row r="1060" spans="1:13" ht="15">
      <c r="A1060" t="s">
        <v>372</v>
      </c>
      <c r="B1060" t="str">
        <f>"15256"</f>
        <v>15256</v>
      </c>
      <c r="C1060" t="str">
        <f>"2013"</f>
        <v>2013</v>
      </c>
      <c r="D1060" t="str">
        <f>"Jokapäiväinen elämämme"</f>
        <v>Jokapäiväinen elämämme</v>
      </c>
      <c r="E1060" t="str">
        <f t="shared" si="87"/>
        <v>viro</v>
      </c>
      <c r="F1060" t="str">
        <f>"romaanid; proosa"</f>
        <v>romaanid; proosa</v>
      </c>
      <c r="G1060" t="str">
        <f>"  täiskasvanud"</f>
        <v xml:space="preserve">  täiskasvanud</v>
      </c>
      <c r="H1060" t="str">
        <f t="shared" si="88"/>
        <v>2017</v>
      </c>
      <c r="I1060" t="str">
        <f>"Meie igapäevane elu"</f>
        <v>Meie igapäevane elu</v>
      </c>
      <c r="J1060" t="str">
        <f>"Jaanits, Kadri"</f>
        <v>Jaanits, Kadri</v>
      </c>
      <c r="K1060" t="str">
        <f>"Tänapäev, Tallinn"</f>
        <v>Tänapäev, Tallinn</v>
      </c>
      <c r="L1060" t="str">
        <f>""</f>
        <v/>
      </c>
      <c r="M1060" t="str">
        <f>"978-9949-85-156-0"</f>
        <v>978-9949-85-156-0</v>
      </c>
    </row>
    <row r="1061" spans="1:13" ht="15">
      <c r="A1061" t="s">
        <v>401</v>
      </c>
      <c r="B1061" t="str">
        <f>"15144"</f>
        <v>15144</v>
      </c>
      <c r="C1061" t="str">
        <f>"2001"</f>
        <v>2001</v>
      </c>
      <c r="D1061" t="str">
        <f>"Sateenkaaren värit : Lennart Meren elämä ystävien silmin"</f>
        <v>Sateenkaaren värit : Lennart Meren elämä ystävien silmin</v>
      </c>
      <c r="E1061" t="str">
        <f t="shared" si="87"/>
        <v>viro</v>
      </c>
      <c r="F1061" t="str">
        <f>""</f>
        <v/>
      </c>
      <c r="G1061" t="str">
        <f>"  täiskasvanud"</f>
        <v xml:space="preserve">  täiskasvanud</v>
      </c>
      <c r="H1061" t="str">
        <f t="shared" si="88"/>
        <v>2017</v>
      </c>
      <c r="I1061" t="str">
        <f>"Vikerkaare värvid"</f>
        <v>Vikerkaare värvid</v>
      </c>
      <c r="J1061" t="str">
        <f>"Kaaber, Ene"</f>
        <v>Kaaber, Ene</v>
      </c>
      <c r="K1061" t="str">
        <f>"Varrak, Tallinn"</f>
        <v>Varrak, Tallinn</v>
      </c>
      <c r="L1061" t="str">
        <f>"2. p."</f>
        <v>2. p.</v>
      </c>
      <c r="M1061" t="str">
        <f>"9789949989713"</f>
        <v>9789949989713</v>
      </c>
    </row>
    <row r="1062" spans="1:13" ht="15">
      <c r="A1062" t="s">
        <v>407</v>
      </c>
      <c r="B1062" t="str">
        <f>"15262"</f>
        <v>15262</v>
      </c>
      <c r="C1062" t="str">
        <f>"1995"</f>
        <v>1995</v>
      </c>
      <c r="D1062" t="str">
        <f>"Stenvallin tapaus : salapoliisiseikkailu vuoden 1873 Helsingissä"</f>
        <v>Stenvallin tapaus : salapoliisiseikkailu vuoden 1873 Helsingissä</v>
      </c>
      <c r="E1062" t="str">
        <f t="shared" si="87"/>
        <v>viro</v>
      </c>
      <c r="F1062" t="str">
        <f>"romaanid; põnevus- ja krimikirjandus; proosa"</f>
        <v>romaanid; põnevus- ja krimikirjandus; proosa</v>
      </c>
      <c r="G1062" t="str">
        <f>"  täiskasvanud"</f>
        <v xml:space="preserve">  täiskasvanud</v>
      </c>
      <c r="H1062" t="str">
        <f t="shared" si="88"/>
        <v>2017</v>
      </c>
      <c r="I1062" t="str">
        <f>"Stenvalli juhtum"</f>
        <v>Stenvalli juhtum</v>
      </c>
      <c r="J1062" t="str">
        <f>"Paikre, Ants"</f>
        <v>Paikre, Ants</v>
      </c>
      <c r="K1062" t="str">
        <f>"NyNorden, Tallinn"</f>
        <v>NyNorden, Tallinn</v>
      </c>
      <c r="L1062" t="str">
        <f>""</f>
        <v/>
      </c>
      <c r="M1062" t="str">
        <f>"978-9949-9600-6-4"</f>
        <v>978-9949-9600-6-4</v>
      </c>
    </row>
    <row r="1063" spans="1:13" ht="15">
      <c r="A1063" t="s">
        <v>421</v>
      </c>
      <c r="B1063" t="str">
        <f>"15761"</f>
        <v>15761</v>
      </c>
      <c r="C1063" t="str">
        <f>"2010"</f>
        <v>2010</v>
      </c>
      <c r="D1063" t="str">
        <f>"Vattnen : noveller"</f>
        <v>Vattnen : noveller</v>
      </c>
      <c r="E1063" t="str">
        <f t="shared" si="87"/>
        <v>viro</v>
      </c>
      <c r="F1063" t="str">
        <f>"lühiproosa, proosa"</f>
        <v>lühiproosa, proosa</v>
      </c>
      <c r="G1063" t="str">
        <f>"  täiskasvanud"</f>
        <v xml:space="preserve">  täiskasvanud</v>
      </c>
      <c r="H1063" t="str">
        <f t="shared" si="88"/>
        <v>2017</v>
      </c>
      <c r="I1063" t="str">
        <f>"Veed"</f>
        <v>Veed</v>
      </c>
      <c r="J1063" t="str">
        <f>"Vain, Eha"</f>
        <v>Vain, Eha</v>
      </c>
      <c r="K1063" t="str">
        <f>"NyNorden, Tallinn"</f>
        <v>NyNorden, Tallinn</v>
      </c>
      <c r="L1063" t="str">
        <f>""</f>
        <v/>
      </c>
      <c r="M1063" t="str">
        <f>"978-9949-9600-8-8"</f>
        <v>978-9949-9600-8-8</v>
      </c>
    </row>
    <row r="1064" spans="1:13" ht="15">
      <c r="A1064" t="s">
        <v>427</v>
      </c>
      <c r="B1064" t="str">
        <f>"13707"</f>
        <v>13707</v>
      </c>
      <c r="C1064" t="str">
        <f>"2016"</f>
        <v>2016</v>
      </c>
      <c r="D1064" t="str">
        <f>"Suomalaiset fasistit : mustan sarastuksen airuet"</f>
        <v>Suomalaiset fasistit : mustan sarastuksen airuet</v>
      </c>
      <c r="E1064" t="str">
        <f t="shared" si="87"/>
        <v>viro</v>
      </c>
      <c r="F1064" t="str">
        <f>""</f>
        <v/>
      </c>
      <c r="G1064" t="str">
        <f>"  täiskasvanud"</f>
        <v xml:space="preserve">  täiskasvanud</v>
      </c>
      <c r="H1064" t="str">
        <f t="shared" si="88"/>
        <v>2017</v>
      </c>
      <c r="I1064" t="str">
        <f>"Musta koidiku kuulutajad"</f>
        <v>Musta koidiku kuulutajad</v>
      </c>
      <c r="J1064" t="str">
        <f>"Adamson, Andres"</f>
        <v>Adamson, Andres</v>
      </c>
      <c r="K1064" t="str">
        <f>"Argo, Tallinn"</f>
        <v>Argo, Tallinn</v>
      </c>
      <c r="L1064" t="str">
        <f>""</f>
        <v/>
      </c>
      <c r="M1064" t="str">
        <f>"978-9949-607-05-1"</f>
        <v>978-9949-607-05-1</v>
      </c>
    </row>
    <row r="1065" spans="1:13" ht="15">
      <c r="A1065" t="s">
        <v>444</v>
      </c>
      <c r="B1065" t="str">
        <f>"19766"</f>
        <v>19766</v>
      </c>
      <c r="C1065" t="str">
        <f>"2017"</f>
        <v>2017</v>
      </c>
      <c r="D1065" t="str">
        <f>"Hellattoman kokin elävä raakaravinto"</f>
        <v>Hellattoman kokin elävä raakaravinto</v>
      </c>
      <c r="E1065" t="str">
        <f t="shared" si="87"/>
        <v>viro</v>
      </c>
      <c r="F1065" t="str">
        <f>""</f>
        <v/>
      </c>
      <c r="G1065" t="str">
        <f>"  täiskasvanud"</f>
        <v xml:space="preserve">  täiskasvanud</v>
      </c>
      <c r="H1065" t="str">
        <f t="shared" si="88"/>
        <v>2017</v>
      </c>
      <c r="I1065" t="str">
        <f>"Nutika koka toortoidu käsiraamat"</f>
        <v>Nutika koka toortoidu käsiraamat</v>
      </c>
      <c r="J1065" t="str">
        <f>"Reinmaa, Katrin, Tallo, Toomas"</f>
        <v>Reinmaa, Katrin, Tallo, Toomas</v>
      </c>
      <c r="K1065" t="str">
        <f>"Ühinenud Ajakirjad, Tallinn"</f>
        <v>Ühinenud Ajakirjad, Tallinn</v>
      </c>
      <c r="L1065" t="str">
        <f>""</f>
        <v/>
      </c>
      <c r="M1065" t="str">
        <f>"9789949990931"</f>
        <v>9789949990931</v>
      </c>
    </row>
    <row r="1066" spans="1:13" ht="15">
      <c r="A1066" t="s">
        <v>467</v>
      </c>
      <c r="B1066" t="str">
        <f>"13707"</f>
        <v>13707</v>
      </c>
      <c r="C1066" t="str">
        <f>"2016"</f>
        <v>2016</v>
      </c>
      <c r="D1066" t="str">
        <f>"Suomalaiset fasistit : mustan sarastuksen airuet"</f>
        <v>Suomalaiset fasistit : mustan sarastuksen airuet</v>
      </c>
      <c r="E1066" t="str">
        <f t="shared" si="87"/>
        <v>viro</v>
      </c>
      <c r="F1066" t="str">
        <f>""</f>
        <v/>
      </c>
      <c r="G1066" t="str">
        <f>"  täiskasvanud"</f>
        <v xml:space="preserve">  täiskasvanud</v>
      </c>
      <c r="H1066" t="str">
        <f t="shared" si="88"/>
        <v>2017</v>
      </c>
      <c r="I1066" t="str">
        <f>"Musta koidiku kuulutajad"</f>
        <v>Musta koidiku kuulutajad</v>
      </c>
      <c r="J1066" t="str">
        <f>"Adamson, Andres"</f>
        <v>Adamson, Andres</v>
      </c>
      <c r="K1066" t="str">
        <f>"Argo, Tallinn"</f>
        <v>Argo, Tallinn</v>
      </c>
      <c r="L1066" t="str">
        <f>""</f>
        <v/>
      </c>
      <c r="M1066" t="str">
        <f>"978-9949-607-05-1"</f>
        <v>978-9949-607-05-1</v>
      </c>
    </row>
    <row r="1067" spans="1:13" ht="15">
      <c r="A1067" t="s">
        <v>468</v>
      </c>
      <c r="B1067" t="str">
        <f>"13865"</f>
        <v>13865</v>
      </c>
      <c r="C1067" t="str">
        <f>"2016"</f>
        <v>2016</v>
      </c>
      <c r="D1067" t="str">
        <f>"Sisarla"</f>
        <v>Sisarla</v>
      </c>
      <c r="E1067" t="str">
        <f t="shared" si="87"/>
        <v>viro</v>
      </c>
      <c r="F1067" t="str">
        <f>"romaanid; fantasiakirjallisuus; proosa"</f>
        <v>romaanid; fantasiakirjallisuus; proosa</v>
      </c>
      <c r="G1067" t="str">
        <f>" lapsed ja noored"</f>
        <v xml:space="preserve"> lapsed ja noored</v>
      </c>
      <c r="H1067" t="str">
        <f t="shared" si="88"/>
        <v>2017</v>
      </c>
      <c r="I1067" t="str">
        <f>"Sõsarla : seiklus teises maailmas"</f>
        <v>Sõsarla : seiklus teises maailmas</v>
      </c>
      <c r="J1067" t="str">
        <f>"Jaanits, Kadri"</f>
        <v>Jaanits, Kadri</v>
      </c>
      <c r="K1067" t="str">
        <f>"Pegasus, Tallinn"</f>
        <v>Pegasus, Tallinn</v>
      </c>
      <c r="L1067" t="str">
        <f>""</f>
        <v/>
      </c>
      <c r="M1067" t="str">
        <f>"978-9949-620-08-1"</f>
        <v>978-9949-620-08-1</v>
      </c>
    </row>
    <row r="1068" spans="1:13" ht="15">
      <c r="A1068" t="s">
        <v>479</v>
      </c>
      <c r="B1068" t="str">
        <f>"15022"</f>
        <v>15022</v>
      </c>
      <c r="C1068" t="str">
        <f>"2016"</f>
        <v>2016</v>
      </c>
      <c r="D1068" t="str">
        <f>"Kepler62. Kirja kolme, Matka"</f>
        <v>Kepler62. Kirja kolme, Matka</v>
      </c>
      <c r="E1068" t="str">
        <f t="shared" si="87"/>
        <v>viro</v>
      </c>
      <c r="F1068" t="str">
        <f>"romaanid; tieteiskirjallisuus; proosa"</f>
        <v>romaanid; tieteiskirjallisuus; proosa</v>
      </c>
      <c r="G1068" t="str">
        <f>" lapsed ja noored"</f>
        <v xml:space="preserve"> lapsed ja noored</v>
      </c>
      <c r="H1068" t="str">
        <f t="shared" si="88"/>
        <v>2017</v>
      </c>
      <c r="I1068" t="str">
        <f>"Kepler62. Kolmas raamat, Reis"</f>
        <v>Kepler62. Kolmas raamat, Reis</v>
      </c>
      <c r="J1068" t="str">
        <f>"Kooli, Rain"</f>
        <v>Kooli, Rain</v>
      </c>
      <c r="K1068" t="str">
        <f>"Ajakirjade Kirjastus, Tallinn"</f>
        <v>Ajakirjade Kirjastus, Tallinn</v>
      </c>
      <c r="L1068" t="str">
        <f>""</f>
        <v/>
      </c>
      <c r="M1068" t="str">
        <f>"9789949393213"</f>
        <v>9789949393213</v>
      </c>
    </row>
    <row r="1069" spans="1:13" ht="15">
      <c r="A1069" t="s">
        <v>491</v>
      </c>
      <c r="B1069" t="str">
        <f>"13713"</f>
        <v>13713</v>
      </c>
      <c r="C1069" t="str">
        <f>"2011"</f>
        <v>2011</v>
      </c>
      <c r="D1069" t="str">
        <f>"Tunne lukkosi"</f>
        <v>Tunne lukkosi</v>
      </c>
      <c r="E1069" t="str">
        <f t="shared" si="87"/>
        <v>viro</v>
      </c>
      <c r="F1069" t="str">
        <f>""</f>
        <v/>
      </c>
      <c r="G1069" t="str">
        <f>"  täiskasvanud"</f>
        <v xml:space="preserve">  täiskasvanud</v>
      </c>
      <c r="H1069" t="str">
        <f t="shared" si="88"/>
        <v>2017</v>
      </c>
      <c r="I1069" t="str">
        <f>"Tundelukud"</f>
        <v>Tundelukud</v>
      </c>
      <c r="J1069" t="str">
        <f>"Pääsuke, Piret"</f>
        <v>Pääsuke, Piret</v>
      </c>
      <c r="K1069" t="str">
        <f>"Varrak, Tallinn"</f>
        <v>Varrak, Tallinn</v>
      </c>
      <c r="L1069" t="str">
        <f>""</f>
        <v/>
      </c>
      <c r="M1069" t="str">
        <f>"9789985341278"</f>
        <v>9789985341278</v>
      </c>
    </row>
    <row r="1070" spans="1:13" ht="15">
      <c r="A1070" t="s">
        <v>513</v>
      </c>
      <c r="B1070" t="str">
        <f>"13707"</f>
        <v>13707</v>
      </c>
      <c r="C1070" t="str">
        <f>"2016"</f>
        <v>2016</v>
      </c>
      <c r="D1070" t="str">
        <f>"Suomalaiset fasistit : mustan sarastuksen airuet"</f>
        <v>Suomalaiset fasistit : mustan sarastuksen airuet</v>
      </c>
      <c r="E1070" t="str">
        <f t="shared" si="87"/>
        <v>viro</v>
      </c>
      <c r="F1070" t="str">
        <f>""</f>
        <v/>
      </c>
      <c r="G1070" t="str">
        <f>"  täiskasvanud"</f>
        <v xml:space="preserve">  täiskasvanud</v>
      </c>
      <c r="H1070" t="str">
        <f t="shared" si="88"/>
        <v>2017</v>
      </c>
      <c r="I1070" t="str">
        <f>"Musta koidiku kuulutajad"</f>
        <v>Musta koidiku kuulutajad</v>
      </c>
      <c r="J1070" t="str">
        <f>"Adamson, Andres"</f>
        <v>Adamson, Andres</v>
      </c>
      <c r="K1070" t="str">
        <f>"Argo, Tallinn"</f>
        <v>Argo, Tallinn</v>
      </c>
      <c r="L1070" t="str">
        <f>""</f>
        <v/>
      </c>
      <c r="M1070" t="str">
        <f>"978-9949-607-05-1"</f>
        <v>978-9949-607-05-1</v>
      </c>
    </row>
    <row r="1071" spans="1:13" ht="15">
      <c r="A1071" t="s">
        <v>517</v>
      </c>
      <c r="B1071" t="str">
        <f>"15573"</f>
        <v>15573</v>
      </c>
      <c r="C1071" t="str">
        <f>"2016"</f>
        <v>2016</v>
      </c>
      <c r="D1071" t="str">
        <f>"Tatu ja Patu etsivinä : Tapaus Puolittaja"</f>
        <v>Tatu ja Patu etsivinä : Tapaus Puolittaja</v>
      </c>
      <c r="E1071" t="str">
        <f t="shared" si="87"/>
        <v>viro</v>
      </c>
      <c r="F1071" t="str">
        <f>"pildiraamatud"</f>
        <v>pildiraamatud</v>
      </c>
      <c r="G1071" t="str">
        <f>" lapsed ja noored"</f>
        <v xml:space="preserve"> lapsed ja noored</v>
      </c>
      <c r="H1071" t="str">
        <f t="shared" si="88"/>
        <v>2017</v>
      </c>
      <c r="I1071" t="str">
        <f>"Teedu ja Peedu detektiividena : Poolitaja juhtum"</f>
        <v>Teedu ja Peedu detektiividena : Poolitaja juhtum</v>
      </c>
      <c r="J1071" t="str">
        <f>"Lagerspetz, Hille"</f>
        <v>Lagerspetz, Hille</v>
      </c>
      <c r="K1071" t="str">
        <f>"Hea Lugu, Tallinn"</f>
        <v>Hea Lugu, Tallinn</v>
      </c>
      <c r="L1071" t="str">
        <f>""</f>
        <v/>
      </c>
      <c r="M1071" t="str">
        <f>"9789949589500"</f>
        <v>9789949589500</v>
      </c>
    </row>
    <row r="1072" spans="1:13" ht="15">
      <c r="A1072" t="s">
        <v>518</v>
      </c>
      <c r="B1072" t="str">
        <f>"15219"</f>
        <v>15219</v>
      </c>
      <c r="C1072" t="str">
        <f>"2015"</f>
        <v>2015</v>
      </c>
      <c r="D1072" t="str">
        <f>"Mörkövahti"</f>
        <v>Mörkövahti</v>
      </c>
      <c r="E1072" t="str">
        <f aca="true" t="shared" si="89" ref="E1072:E1097">"viro"</f>
        <v>viro</v>
      </c>
      <c r="F1072" t="str">
        <f>"proosa"</f>
        <v>proosa</v>
      </c>
      <c r="G1072" t="str">
        <f>" lapsed ja noored"</f>
        <v xml:space="preserve"> lapsed ja noored</v>
      </c>
      <c r="H1072" t="str">
        <f t="shared" si="88"/>
        <v>2017</v>
      </c>
      <c r="I1072" t="str">
        <f>"Kollivalve"</f>
        <v>Kollivalve</v>
      </c>
      <c r="J1072" t="str">
        <f>"Leek, Ave"</f>
        <v>Leek, Ave</v>
      </c>
      <c r="K1072" t="str">
        <f>"Tiritamm, Tallinn"</f>
        <v>Tiritamm, Tallinn</v>
      </c>
      <c r="L1072" t="str">
        <f>""</f>
        <v/>
      </c>
      <c r="M1072" t="str">
        <f>"9789985553206"</f>
        <v>9789985553206</v>
      </c>
    </row>
    <row r="1073" spans="1:13" ht="15">
      <c r="A1073" t="s">
        <v>527</v>
      </c>
      <c r="B1073" t="str">
        <f>"15120"</f>
        <v>15120</v>
      </c>
      <c r="C1073" t="str">
        <f>"2014"</f>
        <v>2014</v>
      </c>
      <c r="D1073" t="str">
        <f>"Maresi : krönikor från Röda klostret"</f>
        <v>Maresi : krönikor från Röda klostret</v>
      </c>
      <c r="E1073" t="str">
        <f t="shared" si="89"/>
        <v>viro</v>
      </c>
      <c r="F1073" t="str">
        <f>"romaanid; fantasiakirjallisuus; proosa"</f>
        <v>romaanid; fantasiakirjallisuus; proosa</v>
      </c>
      <c r="G1073" t="str">
        <f>" lapsed ja noored"</f>
        <v xml:space="preserve"> lapsed ja noored</v>
      </c>
      <c r="H1073" t="str">
        <f t="shared" si="88"/>
        <v>2017</v>
      </c>
      <c r="I1073" t="str">
        <f>"Maresi : Punase kloostri kroonikad"</f>
        <v>Maresi : Punase kloostri kroonikad</v>
      </c>
      <c r="J1073" t="str">
        <f>"Aaloe, Maarja"</f>
        <v>Aaloe, Maarja</v>
      </c>
      <c r="K1073" t="str">
        <f>"Varrak, Tallinn"</f>
        <v>Varrak, Tallinn</v>
      </c>
      <c r="L1073" t="str">
        <f>""</f>
        <v/>
      </c>
      <c r="M1073" t="str">
        <f>"9789985340585"</f>
        <v>9789985340585</v>
      </c>
    </row>
    <row r="1074" spans="1:13" ht="15">
      <c r="A1074" t="s">
        <v>531</v>
      </c>
      <c r="B1074" t="str">
        <f>"15637"</f>
        <v>15637</v>
      </c>
      <c r="C1074" t="str">
        <f>"2011"</f>
        <v>2011</v>
      </c>
      <c r="D1074" t="str">
        <f>"Ikitie : romaani"</f>
        <v>Ikitie : romaani</v>
      </c>
      <c r="E1074" t="str">
        <f t="shared" si="89"/>
        <v>viro</v>
      </c>
      <c r="F1074" t="str">
        <f>"romaanid; proosa"</f>
        <v>romaanid; proosa</v>
      </c>
      <c r="G1074" t="str">
        <f>"  täiskasvanud"</f>
        <v xml:space="preserve">  täiskasvanud</v>
      </c>
      <c r="H1074" t="str">
        <f t="shared" si="88"/>
        <v>2017</v>
      </c>
      <c r="I1074" t="str">
        <f>"Igitee"</f>
        <v>Igitee</v>
      </c>
      <c r="J1074" t="str">
        <f>"Paikre, Ants"</f>
        <v>Paikre, Ants</v>
      </c>
      <c r="K1074" t="str">
        <f>"Varrak, Tallinn"</f>
        <v>Varrak, Tallinn</v>
      </c>
      <c r="L1074" t="str">
        <f>""</f>
        <v/>
      </c>
      <c r="M1074" t="str">
        <f>"978-9985-3-4169-8"</f>
        <v>978-9985-3-4169-8</v>
      </c>
    </row>
    <row r="1075" spans="1:13" ht="15">
      <c r="A1075" t="s">
        <v>533</v>
      </c>
      <c r="B1075" t="str">
        <f>"16181"</f>
        <v>16181</v>
      </c>
      <c r="C1075" t="str">
        <f>"1995"</f>
        <v>1995</v>
      </c>
      <c r="D1075" t="str">
        <f>"Tuulihaukka"</f>
        <v>Tuulihaukka</v>
      </c>
      <c r="E1075" t="str">
        <f t="shared" si="89"/>
        <v>viro</v>
      </c>
      <c r="F1075" t="str">
        <f>"romaanid; proosa"</f>
        <v>romaanid; proosa</v>
      </c>
      <c r="G1075" t="str">
        <f>"  täiskasvanud"</f>
        <v xml:space="preserve">  täiskasvanud</v>
      </c>
      <c r="H1075" t="str">
        <f t="shared" si="88"/>
        <v>2017</v>
      </c>
      <c r="I1075" t="str">
        <f>"Tuulepistrik"</f>
        <v>Tuulepistrik</v>
      </c>
      <c r="J1075" t="str">
        <f>"Ots, Loone"</f>
        <v>Ots, Loone</v>
      </c>
      <c r="K1075" t="str">
        <f>"Rahva Raamat, Tallinn"</f>
        <v>Rahva Raamat, Tallinn</v>
      </c>
      <c r="L1075" t="str">
        <f>""</f>
        <v/>
      </c>
      <c r="M1075" t="str">
        <f>"978-9949-9997-0-5"</f>
        <v>978-9949-9997-0-5</v>
      </c>
    </row>
    <row r="1076" spans="1:13" ht="15">
      <c r="A1076" t="s">
        <v>543</v>
      </c>
      <c r="B1076" t="str">
        <f>"18149"</f>
        <v>18149</v>
      </c>
      <c r="C1076" t="str">
        <f>"2015"</f>
        <v>2015</v>
      </c>
      <c r="D1076" t="str">
        <f>"Lapsen oma eläinkirja"</f>
        <v>Lapsen oma eläinkirja</v>
      </c>
      <c r="E1076" t="str">
        <f t="shared" si="89"/>
        <v>viro</v>
      </c>
      <c r="F1076" t="str">
        <f>""</f>
        <v/>
      </c>
      <c r="G1076" t="str">
        <f>" lapsed ja noored"</f>
        <v xml:space="preserve"> lapsed ja noored</v>
      </c>
      <c r="H1076" t="str">
        <f t="shared" si="88"/>
        <v>2017</v>
      </c>
      <c r="I1076" t="str">
        <f>"Lapse oma loomaraamat"</f>
        <v>Lapse oma loomaraamat</v>
      </c>
      <c r="J1076" t="str">
        <f>"Juursoo, Lauri"</f>
        <v>Juursoo, Lauri</v>
      </c>
      <c r="K1076" t="str">
        <f>"Kirjastus Elust Enesest, Tallinn"</f>
        <v>Kirjastus Elust Enesest, Tallinn</v>
      </c>
      <c r="L1076" t="str">
        <f>""</f>
        <v/>
      </c>
      <c r="M1076" t="str">
        <f>"9789949720002"</f>
        <v>9789949720002</v>
      </c>
    </row>
    <row r="1077" spans="1:13" ht="15">
      <c r="A1077" t="s">
        <v>551</v>
      </c>
      <c r="B1077" t="str">
        <f>"14728"</f>
        <v>14728</v>
      </c>
      <c r="C1077" t="str">
        <f>"2016"</f>
        <v>2016</v>
      </c>
      <c r="D1077" t="str">
        <f>"Akvarelleja Engelin kaupungista"</f>
        <v>Akvarelleja Engelin kaupungista</v>
      </c>
      <c r="E1077" t="str">
        <f t="shared" si="89"/>
        <v>viro</v>
      </c>
      <c r="F1077" t="str">
        <f>"romaanid; proosa"</f>
        <v>romaanid; proosa</v>
      </c>
      <c r="G1077" t="str">
        <f>"  täiskasvanud"</f>
        <v xml:space="preserve">  täiskasvanud</v>
      </c>
      <c r="H1077" t="str">
        <f t="shared" si="88"/>
        <v>2017</v>
      </c>
      <c r="I1077" t="str">
        <f>"Akvarellid Engeli linnast"</f>
        <v>Akvarellid Engeli linnast</v>
      </c>
      <c r="J1077" t="str">
        <f>"Aareleid, Kai"</f>
        <v>Aareleid, Kai</v>
      </c>
      <c r="K1077" t="str">
        <f>"Post Factum, Tallinn"</f>
        <v>Post Factum, Tallinn</v>
      </c>
      <c r="L1077" t="str">
        <f>""</f>
        <v/>
      </c>
      <c r="M1077" t="str">
        <f>"978-9949-603-24-4"</f>
        <v>978-9949-603-24-4</v>
      </c>
    </row>
    <row r="1078" spans="1:13" ht="15">
      <c r="A1078" t="s">
        <v>572</v>
      </c>
      <c r="B1078" t="str">
        <f>"15644"</f>
        <v>15644</v>
      </c>
      <c r="C1078" t="str">
        <f>"2015"</f>
        <v>2015</v>
      </c>
      <c r="D1078" t="str">
        <f>"Suomen sillan kulkijoita : yhteyksiä yli Suomenlahden 1800-luvulla"</f>
        <v>Suomen sillan kulkijoita : yhteyksiä yli Suomenlahden 1800-luvulla</v>
      </c>
      <c r="E1078" t="str">
        <f t="shared" si="89"/>
        <v>viro</v>
      </c>
      <c r="F1078" t="str">
        <f>""</f>
        <v/>
      </c>
      <c r="G1078" t="str">
        <f>"  täiskasvanud"</f>
        <v xml:space="preserve">  täiskasvanud</v>
      </c>
      <c r="H1078" t="str">
        <f t="shared" si="88"/>
        <v>2017</v>
      </c>
      <c r="I1078" t="str">
        <f>"Rändajad Soome sillal"</f>
        <v>Rändajad Soome sillal</v>
      </c>
      <c r="J1078" t="str">
        <f>"Olesk, Sirje"</f>
        <v>Olesk, Sirje</v>
      </c>
      <c r="K1078" t="str">
        <f>"Varrak, Tallinn"</f>
        <v>Varrak, Tallinn</v>
      </c>
      <c r="L1078" t="str">
        <f>""</f>
        <v/>
      </c>
      <c r="M1078" t="str">
        <f>"978-9985-3-4089-9"</f>
        <v>978-9985-3-4089-9</v>
      </c>
    </row>
    <row r="1079" spans="1:13" ht="15">
      <c r="A1079" t="s">
        <v>7</v>
      </c>
      <c r="B1079" t="str">
        <f>"15412"</f>
        <v>15412</v>
      </c>
      <c r="C1079" t="str">
        <f>"2015"</f>
        <v>2015</v>
      </c>
      <c r="D1079" t="str">
        <f>"Taivaalta tippuvat asiat"</f>
        <v>Taivaalta tippuvat asiat</v>
      </c>
      <c r="E1079" t="str">
        <f t="shared" si="89"/>
        <v>viro</v>
      </c>
      <c r="F1079" t="str">
        <f>"romaanid; proosa"</f>
        <v>romaanid; proosa</v>
      </c>
      <c r="G1079" t="str">
        <f>"  täiskasvanud"</f>
        <v xml:space="preserve">  täiskasvanud</v>
      </c>
      <c r="H1079" t="str">
        <f aca="true" t="shared" si="90" ref="H1079:H1118">"2018"</f>
        <v>2018</v>
      </c>
      <c r="I1079" t="str">
        <f>"Taevast pudeneb asju"</f>
        <v>Taevast pudeneb asju</v>
      </c>
      <c r="J1079" t="str">
        <f>"Kaus, Jan"</f>
        <v>Kaus, Jan</v>
      </c>
      <c r="K1079" t="str">
        <f>"Post Factum, Tallinn"</f>
        <v>Post Factum, Tallinn</v>
      </c>
      <c r="L1079" t="str">
        <f>""</f>
        <v/>
      </c>
      <c r="M1079" t="str">
        <f>"978-9949-603-89-3"</f>
        <v>978-9949-603-89-3</v>
      </c>
    </row>
    <row r="1080" spans="1:13" ht="15">
      <c r="A1080" t="s">
        <v>11</v>
      </c>
      <c r="B1080" t="str">
        <f>"15939"</f>
        <v>15939</v>
      </c>
      <c r="C1080" t="str">
        <f>"2018"</f>
        <v>2018</v>
      </c>
      <c r="D1080" t="str">
        <f>"Vanhan maatalon salaisuus"</f>
        <v>Vanhan maatalon salaisuus</v>
      </c>
      <c r="E1080" t="str">
        <f t="shared" si="89"/>
        <v>viro</v>
      </c>
      <c r="F1080" t="str">
        <f>"pildiraamatud"</f>
        <v>pildiraamatud</v>
      </c>
      <c r="G1080" t="str">
        <f>" lapsed ja noored"</f>
        <v xml:space="preserve"> lapsed ja noored</v>
      </c>
      <c r="H1080" t="str">
        <f t="shared" si="90"/>
        <v>2018</v>
      </c>
      <c r="I1080" t="str">
        <f>"Vana talumaja saladus"</f>
        <v>Vana talumaja saladus</v>
      </c>
      <c r="J1080" t="str">
        <f>"Juursoo, Lauri"</f>
        <v>Juursoo, Lauri</v>
      </c>
      <c r="K1080" t="str">
        <f>"Kirjastus Elust Enesest, Tallinn"</f>
        <v>Kirjastus Elust Enesest, Tallinn</v>
      </c>
      <c r="L1080" t="str">
        <f>""</f>
        <v/>
      </c>
      <c r="M1080" t="str">
        <f>"978-9949-720-01-9"</f>
        <v>978-9949-720-01-9</v>
      </c>
    </row>
    <row r="1081" spans="1:13" ht="15">
      <c r="A1081" t="s">
        <v>28</v>
      </c>
      <c r="B1081" t="str">
        <f>"15361"</f>
        <v>15361</v>
      </c>
      <c r="C1081" t="str">
        <f>"2016"</f>
        <v>2016</v>
      </c>
      <c r="D1081" t="str">
        <f>"He olivat natseja"</f>
        <v>He olivat natseja</v>
      </c>
      <c r="E1081" t="str">
        <f t="shared" si="89"/>
        <v>viro</v>
      </c>
      <c r="F1081" t="str">
        <f>""</f>
        <v/>
      </c>
      <c r="G1081" t="str">
        <f>"  täiskasvanud"</f>
        <v xml:space="preserve">  täiskasvanud</v>
      </c>
      <c r="H1081" t="str">
        <f t="shared" si="90"/>
        <v>2018</v>
      </c>
      <c r="I1081" t="str">
        <f>"Nad olid natsid"</f>
        <v>Nad olid natsid</v>
      </c>
      <c r="J1081" t="str">
        <f>"Raudvere, Koidu"</f>
        <v>Raudvere, Koidu</v>
      </c>
      <c r="K1081" t="str">
        <f>"Post Factum, Tallinn"</f>
        <v>Post Factum, Tallinn</v>
      </c>
      <c r="L1081" t="str">
        <f>""</f>
        <v/>
      </c>
      <c r="M1081" t="str">
        <f>"9789949603831"</f>
        <v>9789949603831</v>
      </c>
    </row>
    <row r="1082" spans="1:13" ht="15">
      <c r="A1082" t="s">
        <v>62</v>
      </c>
      <c r="B1082" t="str">
        <f>"15877"</f>
        <v>15877</v>
      </c>
      <c r="C1082" t="str">
        <f>"2016"</f>
        <v>2016</v>
      </c>
      <c r="D1082" t="str">
        <f>"Mur, eli karhu"</f>
        <v>Mur, eli karhu</v>
      </c>
      <c r="E1082" t="str">
        <f t="shared" si="89"/>
        <v>viro</v>
      </c>
      <c r="F1082" t="str">
        <f>"pildiraamatud"</f>
        <v>pildiraamatud</v>
      </c>
      <c r="G1082" t="str">
        <f>" lapsed ja noored"</f>
        <v xml:space="preserve"> lapsed ja noored</v>
      </c>
      <c r="H1082" t="str">
        <f t="shared" si="90"/>
        <v>2018</v>
      </c>
      <c r="I1082" t="str">
        <f>"Urra, ehk, Karu"</f>
        <v>Urra, ehk, Karu</v>
      </c>
      <c r="J1082" t="str">
        <f>"Veigel, Piret"</f>
        <v>Veigel, Piret</v>
      </c>
      <c r="K1082" t="str">
        <f>"Post Factum, Tallinn"</f>
        <v>Post Factum, Tallinn</v>
      </c>
      <c r="L1082" t="str">
        <f>""</f>
        <v/>
      </c>
      <c r="M1082" t="str">
        <f>"9789949603886"</f>
        <v>9789949603886</v>
      </c>
    </row>
    <row r="1083" spans="1:13" ht="15">
      <c r="A1083" t="s">
        <v>68</v>
      </c>
      <c r="B1083" t="str">
        <f>"15774"</f>
        <v>15774</v>
      </c>
      <c r="C1083" t="str">
        <f>"2015"</f>
        <v>2015</v>
      </c>
      <c r="D1083" t="str">
        <f>"Tatun ja Patun ihmeellinen joulu"</f>
        <v>Tatun ja Patun ihmeellinen joulu</v>
      </c>
      <c r="E1083" t="str">
        <f t="shared" si="89"/>
        <v>viro</v>
      </c>
      <c r="F1083" t="str">
        <f>"pildiraamatud"</f>
        <v>pildiraamatud</v>
      </c>
      <c r="G1083" t="str">
        <f>" lapsed ja noored"</f>
        <v xml:space="preserve"> lapsed ja noored</v>
      </c>
      <c r="H1083" t="str">
        <f t="shared" si="90"/>
        <v>2018</v>
      </c>
      <c r="I1083" t="str">
        <f>"Teedu ja Peedu imepärased jõulud"</f>
        <v>Teedu ja Peedu imepärased jõulud</v>
      </c>
      <c r="J1083" t="str">
        <f>"Lagerspetz, Hille"</f>
        <v>Lagerspetz, Hille</v>
      </c>
      <c r="K1083" t="str">
        <f>"Hea Lugu, Tallinn"</f>
        <v>Hea Lugu, Tallinn</v>
      </c>
      <c r="L1083" t="str">
        <f>""</f>
        <v/>
      </c>
      <c r="M1083" t="str">
        <f>"9789949634835"</f>
        <v>9789949634835</v>
      </c>
    </row>
    <row r="1084" spans="1:13" ht="15">
      <c r="A1084" t="s">
        <v>77</v>
      </c>
      <c r="B1084" t="str">
        <f>"15205"</f>
        <v>15205</v>
      </c>
      <c r="C1084" t="str">
        <f>"2015"</f>
        <v>2015</v>
      </c>
      <c r="D1084" t="str">
        <f>"Kun aika loppuu : romaani"</f>
        <v>Kun aika loppuu : romaani</v>
      </c>
      <c r="E1084" t="str">
        <f t="shared" si="89"/>
        <v>viro</v>
      </c>
      <c r="F1084" t="str">
        <f>"romaanid; proosa"</f>
        <v>romaanid; proosa</v>
      </c>
      <c r="G1084" t="str">
        <f>"  täiskasvanud"</f>
        <v xml:space="preserve">  täiskasvanud</v>
      </c>
      <c r="H1084" t="str">
        <f t="shared" si="90"/>
        <v>2018</v>
      </c>
      <c r="I1084" t="str">
        <f>"Kui aeg saab otsa"</f>
        <v>Kui aeg saab otsa</v>
      </c>
      <c r="J1084" t="str">
        <f>"Saluri, Piret"</f>
        <v>Saluri, Piret</v>
      </c>
      <c r="K1084" t="str">
        <f>"Varrak, Tallinn"</f>
        <v>Varrak, Tallinn</v>
      </c>
      <c r="L1084" t="str">
        <f>""</f>
        <v/>
      </c>
      <c r="M1084" t="str">
        <f>"978-9985-3-4377-7"</f>
        <v>978-9985-3-4377-7</v>
      </c>
    </row>
    <row r="1085" spans="1:13" ht="15">
      <c r="A1085" t="s">
        <v>85</v>
      </c>
      <c r="B1085" t="str">
        <f>"15849"</f>
        <v>15849</v>
      </c>
      <c r="C1085" t="str">
        <f>"2018"</f>
        <v>2018</v>
      </c>
      <c r="D1085" t="str">
        <f>"Tuntematon Kimi Räikkönen"</f>
        <v>Tuntematon Kimi Räikkönen</v>
      </c>
      <c r="E1085" t="str">
        <f t="shared" si="89"/>
        <v>viro</v>
      </c>
      <c r="F1085" t="str">
        <f>""</f>
        <v/>
      </c>
      <c r="G1085" t="str">
        <f>"  täiskasvanud"</f>
        <v xml:space="preserve">  täiskasvanud</v>
      </c>
      <c r="H1085" t="str">
        <f t="shared" si="90"/>
        <v>2018</v>
      </c>
      <c r="I1085" t="str">
        <f>"Tundmatu Kimi Räikkönen"</f>
        <v>Tundmatu Kimi Räikkönen</v>
      </c>
      <c r="J1085" t="str">
        <f>"Kooli, Rain"</f>
        <v>Kooli, Rain</v>
      </c>
      <c r="K1085" t="str">
        <f>"Koolibri, Tallinn"</f>
        <v>Koolibri, Tallinn</v>
      </c>
      <c r="L1085" t="str">
        <f>""</f>
        <v/>
      </c>
      <c r="M1085" t="str">
        <f>"9789985041178"</f>
        <v>9789985041178</v>
      </c>
    </row>
    <row r="1086" spans="1:13" ht="15">
      <c r="A1086" t="s">
        <v>97</v>
      </c>
      <c r="B1086" t="str">
        <f>"15365"</f>
        <v>15365</v>
      </c>
      <c r="C1086" t="str">
        <f>"2017"</f>
        <v>2017</v>
      </c>
      <c r="D1086" t="str">
        <f>"Jumalankoirat : romantillinen kertomus ja aikalaisen todistuskirje"</f>
        <v>Jumalankoirat : romantillinen kertomus ja aikalaisen todistuskirje</v>
      </c>
      <c r="E1086" t="str">
        <f t="shared" si="89"/>
        <v>viro</v>
      </c>
      <c r="F1086" t="str">
        <f>"romaanid; proosa"</f>
        <v>romaanid; proosa</v>
      </c>
      <c r="G1086" t="str">
        <f>"  täiskasvanud"</f>
        <v xml:space="preserve">  täiskasvanud</v>
      </c>
      <c r="H1086" t="str">
        <f t="shared" si="90"/>
        <v>2018</v>
      </c>
      <c r="I1086" t="str">
        <f>"Jumala koerad : üks romantiline jutt ja kaasaegse tunniskiri"</f>
        <v>Jumala koerad : üks romantiline jutt ja kaasaegse tunniskiri</v>
      </c>
      <c r="J1086" t="str">
        <f>"Jaanits, Kadri"</f>
        <v>Jaanits, Kadri</v>
      </c>
      <c r="K1086" t="str">
        <f>"Koolibri, Tallinn"</f>
        <v>Koolibri, Tallinn</v>
      </c>
      <c r="L1086" t="str">
        <f>""</f>
        <v/>
      </c>
      <c r="M1086" t="str">
        <f>"9789985039748"</f>
        <v>9789985039748</v>
      </c>
    </row>
    <row r="1087" spans="1:13" ht="15">
      <c r="A1087" t="s">
        <v>118</v>
      </c>
      <c r="B1087" t="str">
        <f>"15825"</f>
        <v>15825</v>
      </c>
      <c r="C1087" t="str">
        <f>"2015"</f>
        <v>2015</v>
      </c>
      <c r="D1087" t="str">
        <f>"Infosota : Iskut kohdistuvat kansalaisten tajuntaan"</f>
        <v>Infosota : Iskut kohdistuvat kansalaisten tajuntaan</v>
      </c>
      <c r="E1087" t="str">
        <f t="shared" si="89"/>
        <v>viro</v>
      </c>
      <c r="F1087" t="str">
        <f>""</f>
        <v/>
      </c>
      <c r="G1087" t="str">
        <f>"  täiskasvanud"</f>
        <v xml:space="preserve">  täiskasvanud</v>
      </c>
      <c r="H1087" t="str">
        <f t="shared" si="90"/>
        <v>2018</v>
      </c>
      <c r="I1087" t="str">
        <f>"Infosõda"</f>
        <v>Infosõda</v>
      </c>
      <c r="J1087" t="str">
        <f>"Meri, Tuule"</f>
        <v>Meri, Tuule</v>
      </c>
      <c r="K1087" t="str">
        <f>"Kultuurileht, Tallinn"</f>
        <v>Kultuurileht, Tallinn</v>
      </c>
      <c r="L1087" t="str">
        <f>""</f>
        <v/>
      </c>
      <c r="M1087" t="str">
        <f>"9789949972487"</f>
        <v>9789949972487</v>
      </c>
    </row>
    <row r="1088" spans="1:13" ht="15">
      <c r="A1088" t="s">
        <v>153</v>
      </c>
      <c r="B1088" t="str">
        <f>"13587"</f>
        <v>13587</v>
      </c>
      <c r="C1088" t="str">
        <f>"2013"</f>
        <v>2013</v>
      </c>
      <c r="D1088" t="str">
        <f>"Asioita jotka saavat sydämen lyömään nopeammin"</f>
        <v>Asioita jotka saavat sydämen lyömään nopeammin</v>
      </c>
      <c r="E1088" t="str">
        <f t="shared" si="89"/>
        <v>viro</v>
      </c>
      <c r="F1088" t="str">
        <f>""</f>
        <v/>
      </c>
      <c r="G1088" t="str">
        <f>"  täiskasvanud"</f>
        <v xml:space="preserve">  täiskasvanud</v>
      </c>
      <c r="H1088" t="str">
        <f t="shared" si="90"/>
        <v>2018</v>
      </c>
      <c r="I1088" t="str">
        <f>"Asjad, mis panevad südame kiiremini põksuma"</f>
        <v>Asjad, mis panevad südame kiiremini põksuma</v>
      </c>
      <c r="J1088" t="str">
        <f>"Tael, Triin"</f>
        <v>Tael, Triin</v>
      </c>
      <c r="K1088" t="str">
        <f>"Varrak, Tallinn"</f>
        <v>Varrak, Tallinn</v>
      </c>
      <c r="L1088" t="str">
        <f>""</f>
        <v/>
      </c>
      <c r="M1088" t="str">
        <f>"978-9985-3-4297-8"</f>
        <v>978-9985-3-4297-8</v>
      </c>
    </row>
    <row r="1089" spans="1:13" ht="15">
      <c r="A1089" t="s">
        <v>184</v>
      </c>
      <c r="B1089" t="str">
        <f>"16175"</f>
        <v>16175</v>
      </c>
      <c r="C1089" t="str">
        <f>"2016"</f>
        <v>2016</v>
      </c>
      <c r="D1089" t="str">
        <f>"Piki"</f>
        <v>Piki</v>
      </c>
      <c r="E1089" t="str">
        <f t="shared" si="89"/>
        <v>viro</v>
      </c>
      <c r="F1089" t="str">
        <f>"pildiraamatud"</f>
        <v>pildiraamatud</v>
      </c>
      <c r="G1089" t="str">
        <f>" lapsed ja noored"</f>
        <v xml:space="preserve"> lapsed ja noored</v>
      </c>
      <c r="H1089" t="str">
        <f t="shared" si="90"/>
        <v>2018</v>
      </c>
      <c r="I1089" t="str">
        <f>"Popi"</f>
        <v>Popi</v>
      </c>
      <c r="J1089" t="str">
        <f>"Lagerspetz, Hille"</f>
        <v>Lagerspetz, Hille</v>
      </c>
      <c r="K1089" t="str">
        <f>"Helios, Tallinn"</f>
        <v>Helios, Tallinn</v>
      </c>
      <c r="L1089" t="str">
        <f>""</f>
        <v/>
      </c>
      <c r="M1089" t="str">
        <f>"9789949610471"</f>
        <v>9789949610471</v>
      </c>
    </row>
    <row r="1090" spans="1:13" ht="15">
      <c r="A1090" t="s">
        <v>191</v>
      </c>
      <c r="B1090" t="str">
        <f>"16176"</f>
        <v>16176</v>
      </c>
      <c r="C1090" t="str">
        <f>"2017"</f>
        <v>2017</v>
      </c>
      <c r="D1090" t="str">
        <f>"Ruokamysteerit : viisaiden valintojen jäljillä"</f>
        <v>Ruokamysteerit : viisaiden valintojen jäljillä</v>
      </c>
      <c r="E1090" t="str">
        <f t="shared" si="89"/>
        <v>viro</v>
      </c>
      <c r="F1090" t="str">
        <f>""</f>
        <v/>
      </c>
      <c r="G1090" t="str">
        <f>"  täiskasvanud"</f>
        <v xml:space="preserve">  täiskasvanud</v>
      </c>
      <c r="H1090" t="str">
        <f t="shared" si="90"/>
        <v>2018</v>
      </c>
      <c r="I1090" t="str">
        <f>"Toidusaladused"</f>
        <v>Toidusaladused</v>
      </c>
      <c r="J1090" t="str">
        <f>"Rebane, Sirle"</f>
        <v>Rebane, Sirle</v>
      </c>
      <c r="K1090" t="str">
        <f>"Ühinenud Ajakirjad, Tallinn"</f>
        <v>Ühinenud Ajakirjad, Tallinn</v>
      </c>
      <c r="L1090" t="str">
        <f>""</f>
        <v/>
      </c>
      <c r="M1090" t="str">
        <f>"9789949631094"</f>
        <v>9789949631094</v>
      </c>
    </row>
    <row r="1091" spans="1:13" ht="15">
      <c r="A1091" t="s">
        <v>217</v>
      </c>
      <c r="B1091" t="str">
        <f>"15667"</f>
        <v>15667</v>
      </c>
      <c r="C1091" t="str">
        <f>"2017"</f>
        <v>2017</v>
      </c>
      <c r="D1091" t="str">
        <f>"Koiramäen Suomen historia"</f>
        <v>Koiramäen Suomen historia</v>
      </c>
      <c r="E1091" t="str">
        <f t="shared" si="89"/>
        <v>viro</v>
      </c>
      <c r="F1091" t="str">
        <f>"pildiraamatud"</f>
        <v>pildiraamatud</v>
      </c>
      <c r="G1091" t="str">
        <f>" lapsed ja noored"</f>
        <v xml:space="preserve"> lapsed ja noored</v>
      </c>
      <c r="H1091" t="str">
        <f t="shared" si="90"/>
        <v>2018</v>
      </c>
      <c r="I1091" t="str">
        <f>"Koeramäe Soome ajalugu"</f>
        <v>Koeramäe Soome ajalugu</v>
      </c>
      <c r="J1091" t="str">
        <f>"Lepp, Andres"</f>
        <v>Lepp, Andres</v>
      </c>
      <c r="K1091" t="str">
        <f>"Sinisukk, Tallinn"</f>
        <v>Sinisukk, Tallinn</v>
      </c>
      <c r="L1091" t="str">
        <f>""</f>
        <v/>
      </c>
      <c r="M1091" t="str">
        <f>"978-9949-34-712-4"</f>
        <v>978-9949-34-712-4</v>
      </c>
    </row>
    <row r="1092" spans="1:13" ht="15">
      <c r="A1092" t="s">
        <v>232</v>
      </c>
      <c r="B1092" t="str">
        <f>"14767"</f>
        <v>14767</v>
      </c>
      <c r="C1092" t="str">
        <f>"2014"</f>
        <v>2014</v>
      </c>
      <c r="D1092" t="str">
        <f>"Torakoita ja panssarivaunuja"</f>
        <v>Torakoita ja panssarivaunuja</v>
      </c>
      <c r="E1092" t="str">
        <f t="shared" si="89"/>
        <v>viro</v>
      </c>
      <c r="F1092" t="str">
        <f>""</f>
        <v/>
      </c>
      <c r="G1092" t="str">
        <f>"  täiskasvanud"</f>
        <v xml:space="preserve">  täiskasvanud</v>
      </c>
      <c r="H1092" t="str">
        <f t="shared" si="90"/>
        <v>2018</v>
      </c>
      <c r="I1092" t="str">
        <f>"Tankid ja tarakanid"</f>
        <v>Tankid ja tarakanid</v>
      </c>
      <c r="J1092" t="str">
        <f>"Kurmiste, Katrin"</f>
        <v>Kurmiste, Katrin</v>
      </c>
      <c r="K1092" t="str">
        <f>"Varrak, Tallinn"</f>
        <v>Varrak, Tallinn</v>
      </c>
      <c r="L1092" t="str">
        <f>""</f>
        <v/>
      </c>
      <c r="M1092" t="str">
        <f>"978-9985-3-4318-0"</f>
        <v>978-9985-3-4318-0</v>
      </c>
    </row>
    <row r="1093" spans="1:13" ht="15">
      <c r="A1093" t="s">
        <v>244</v>
      </c>
      <c r="B1093" t="str">
        <f>"16004"</f>
        <v>16004</v>
      </c>
      <c r="C1093" t="str">
        <f>"2015"</f>
        <v>2015</v>
      </c>
      <c r="D1093" t="str">
        <f>"Paljastavat värit, hoitavat kuvat : opas kuvien maailmaan"</f>
        <v>Paljastavat värit, hoitavat kuvat : opas kuvien maailmaan</v>
      </c>
      <c r="E1093" t="str">
        <f t="shared" si="89"/>
        <v>viro</v>
      </c>
      <c r="F1093" t="str">
        <f>""</f>
        <v/>
      </c>
      <c r="G1093" t="str">
        <f>"  täiskasvanud"</f>
        <v xml:space="preserve">  täiskasvanud</v>
      </c>
      <c r="H1093" t="str">
        <f t="shared" si="90"/>
        <v>2018</v>
      </c>
      <c r="I1093" t="str">
        <f>"Teejuht maagiliste piltide maailma"</f>
        <v>Teejuht maagiliste piltide maailma</v>
      </c>
      <c r="J1093" t="str">
        <f>"Raudvere, Koidu"</f>
        <v>Raudvere, Koidu</v>
      </c>
      <c r="K1093" t="str">
        <f>"Pilgrim, Tallinn"</f>
        <v>Pilgrim, Tallinn</v>
      </c>
      <c r="L1093" t="str">
        <f>""</f>
        <v/>
      </c>
      <c r="M1093" t="str">
        <f>"9789949621378"</f>
        <v>9789949621378</v>
      </c>
    </row>
    <row r="1094" spans="1:13" ht="15">
      <c r="A1094" t="s">
        <v>253</v>
      </c>
      <c r="B1094" t="str">
        <f>"16050"</f>
        <v>16050</v>
      </c>
      <c r="C1094" t="str">
        <f>"2017"</f>
        <v>2017</v>
      </c>
      <c r="D1094" t="str">
        <f>"Raatteen tie"</f>
        <v>Raatteen tie</v>
      </c>
      <c r="E1094" t="str">
        <f t="shared" si="89"/>
        <v>viro</v>
      </c>
      <c r="F1094" t="str">
        <f>"sarjakuvat"</f>
        <v>sarjakuvat</v>
      </c>
      <c r="G1094" t="str">
        <f>"  täiskasvanud"</f>
        <v xml:space="preserve">  täiskasvanud</v>
      </c>
      <c r="H1094" t="str">
        <f t="shared" si="90"/>
        <v>2018</v>
      </c>
      <c r="I1094" t="str">
        <f>"Talvesõda Raate tee"</f>
        <v>Talvesõda Raate tee</v>
      </c>
      <c r="J1094" t="str">
        <f>"Tõnson, Pille"</f>
        <v>Tõnson, Pille</v>
      </c>
      <c r="K1094" t="str">
        <f>"Baltic Guide : Guide Marketing, Tallinn"</f>
        <v>Baltic Guide : Guide Marketing, Tallinn</v>
      </c>
      <c r="L1094" t="str">
        <f>""</f>
        <v/>
      </c>
      <c r="M1094" t="str">
        <f>"9789949884339"</f>
        <v>9789949884339</v>
      </c>
    </row>
    <row r="1095" spans="1:13" ht="15">
      <c r="A1095" t="s">
        <v>266</v>
      </c>
      <c r="B1095" t="str">
        <f>"15600"</f>
        <v>15600</v>
      </c>
      <c r="C1095" t="str">
        <f>"2017"</f>
        <v>2017</v>
      </c>
      <c r="D1095" t="str">
        <f>"Everstinna"</f>
        <v>Everstinna</v>
      </c>
      <c r="E1095" t="str">
        <f t="shared" si="89"/>
        <v>viro</v>
      </c>
      <c r="F1095" t="str">
        <f>"romaanid; proosa"</f>
        <v>romaanid; proosa</v>
      </c>
      <c r="G1095" t="str">
        <f>"  täiskasvanud"</f>
        <v xml:space="preserve">  täiskasvanud</v>
      </c>
      <c r="H1095" t="str">
        <f t="shared" si="90"/>
        <v>2018</v>
      </c>
      <c r="I1095" t="str">
        <f>"Koloneliproua"</f>
        <v>Koloneliproua</v>
      </c>
      <c r="J1095" t="str">
        <f>"Jaanits, Kadri"</f>
        <v>Jaanits, Kadri</v>
      </c>
      <c r="K1095" t="str">
        <f>"Koolibri, Tallinn"</f>
        <v>Koolibri, Tallinn</v>
      </c>
      <c r="L1095" t="str">
        <f>""</f>
        <v/>
      </c>
      <c r="M1095" t="str">
        <f>"978-9985-0-4044-7"</f>
        <v>978-9985-0-4044-7</v>
      </c>
    </row>
    <row r="1096" spans="1:13" ht="15">
      <c r="A1096" t="s">
        <v>286</v>
      </c>
      <c r="B1096" t="str">
        <f>"16050"</f>
        <v>16050</v>
      </c>
      <c r="C1096" t="str">
        <f>"2017"</f>
        <v>2017</v>
      </c>
      <c r="D1096" t="str">
        <f>"Raatteen tie"</f>
        <v>Raatteen tie</v>
      </c>
      <c r="E1096" t="str">
        <f t="shared" si="89"/>
        <v>viro</v>
      </c>
      <c r="F1096" t="str">
        <f>"sarjakuvat"</f>
        <v>sarjakuvat</v>
      </c>
      <c r="G1096" t="str">
        <f>"  täiskasvanud"</f>
        <v xml:space="preserve">  täiskasvanud</v>
      </c>
      <c r="H1096" t="str">
        <f t="shared" si="90"/>
        <v>2018</v>
      </c>
      <c r="I1096" t="str">
        <f>"Talvesõda Raate tee"</f>
        <v>Talvesõda Raate tee</v>
      </c>
      <c r="J1096" t="str">
        <f>"Tõnson, Pille"</f>
        <v>Tõnson, Pille</v>
      </c>
      <c r="K1096" t="str">
        <f>"Baltic Guide : Guide Marketing, Tallinn"</f>
        <v>Baltic Guide : Guide Marketing, Tallinn</v>
      </c>
      <c r="L1096" t="str">
        <f>""</f>
        <v/>
      </c>
      <c r="M1096" t="str">
        <f>"9789949884339"</f>
        <v>9789949884339</v>
      </c>
    </row>
    <row r="1097" spans="1:13" ht="15">
      <c r="A1097" t="s">
        <v>303</v>
      </c>
      <c r="B1097" t="str">
        <f>"15714"</f>
        <v>15714</v>
      </c>
      <c r="C1097" t="str">
        <f>"2008"</f>
        <v>2008</v>
      </c>
      <c r="D1097" t="str">
        <f>"När vi spelade Afrikas stjärna : en bok om barnbarn"</f>
        <v>När vi spelade Afrikas stjärna : en bok om barnbarn</v>
      </c>
      <c r="E1097" t="str">
        <f t="shared" si="89"/>
        <v>viro</v>
      </c>
      <c r="F1097" t="str">
        <f>""</f>
        <v/>
      </c>
      <c r="G1097" t="str">
        <f>"  täiskasvanud"</f>
        <v xml:space="preserve">  täiskasvanud</v>
      </c>
      <c r="H1097" t="str">
        <f t="shared" si="90"/>
        <v>2018</v>
      </c>
      <c r="I1097" t="str">
        <f>"Vanaemadest ja lastelastest"</f>
        <v>Vanaemadest ja lastelastest</v>
      </c>
      <c r="J1097" t="str">
        <f>"Haasma, Kadi-Riin"</f>
        <v>Haasma, Kadi-Riin</v>
      </c>
      <c r="K1097" t="str">
        <f>"Varrak, Tallinn"</f>
        <v>Varrak, Tallinn</v>
      </c>
      <c r="L1097" t="str">
        <f>""</f>
        <v/>
      </c>
      <c r="M1097" t="str">
        <f>"9789985344026"</f>
        <v>9789985344026</v>
      </c>
    </row>
    <row r="1098" spans="1:13" ht="15">
      <c r="A1098" t="s">
        <v>305</v>
      </c>
      <c r="B1098" t="str">
        <f>"15509"</f>
        <v>15509</v>
      </c>
      <c r="C1098" t="str">
        <f>"2017"</f>
        <v>2017</v>
      </c>
      <c r="D1098" t="str">
        <f>"Gustaf Mannerheim : aristokrat i vadmal"</f>
        <v>Gustaf Mannerheim : aristokrat i vadmal</v>
      </c>
      <c r="E1098" t="str">
        <f>"viro, välikieli"</f>
        <v>viro, välikieli</v>
      </c>
      <c r="F1098" t="str">
        <f>""</f>
        <v/>
      </c>
      <c r="G1098" t="str">
        <f>"  täiskasvanud"</f>
        <v xml:space="preserve">  täiskasvanud</v>
      </c>
      <c r="H1098" t="str">
        <f t="shared" si="90"/>
        <v>2018</v>
      </c>
      <c r="I1098" t="str">
        <f>"Gustaf Mannerheim : aristokraat maavillases"</f>
        <v>Gustaf Mannerheim : aristokraat maavillases</v>
      </c>
      <c r="J1098" t="str">
        <f>"Adamson, Andres"</f>
        <v>Adamson, Andres</v>
      </c>
      <c r="K1098" t="str">
        <f>"Argo, Tallinn"</f>
        <v>Argo, Tallinn</v>
      </c>
      <c r="L1098" t="str">
        <f>""</f>
        <v/>
      </c>
      <c r="M1098" t="str">
        <f>"9789949607525"</f>
        <v>9789949607525</v>
      </c>
    </row>
    <row r="1099" spans="1:13" ht="15">
      <c r="A1099" t="s">
        <v>315</v>
      </c>
      <c r="B1099" t="str">
        <f>"16631"</f>
        <v>16631</v>
      </c>
      <c r="C1099" t="str">
        <f>"2016"</f>
        <v>2016</v>
      </c>
      <c r="D1099" t="str">
        <f>"Ota kipu haltuun"</f>
        <v>Ota kipu haltuun</v>
      </c>
      <c r="E1099" t="str">
        <f aca="true" t="shared" si="91" ref="E1099:E1163">"viro"</f>
        <v>viro</v>
      </c>
      <c r="F1099" t="str">
        <f>""</f>
        <v/>
      </c>
      <c r="G1099" t="str">
        <f>"  täiskasvanud"</f>
        <v xml:space="preserve">  täiskasvanud</v>
      </c>
      <c r="H1099" t="str">
        <f t="shared" si="90"/>
        <v>2018</v>
      </c>
      <c r="I1099" t="str">
        <f>"Võim valu üle"</f>
        <v>Võim valu üle</v>
      </c>
      <c r="J1099" t="str">
        <f>"Tallo, Toomas"</f>
        <v>Tallo, Toomas</v>
      </c>
      <c r="K1099" t="str">
        <f>"Varrak, Tallinn"</f>
        <v>Varrak, Tallinn</v>
      </c>
      <c r="L1099" t="str">
        <f>""</f>
        <v/>
      </c>
      <c r="M1099" t="str">
        <f>"9789985342961"</f>
        <v>9789985342961</v>
      </c>
    </row>
    <row r="1100" spans="1:13" ht="15">
      <c r="A1100" t="s">
        <v>348</v>
      </c>
      <c r="B1100" t="str">
        <f>"15249"</f>
        <v>15249</v>
      </c>
      <c r="C1100" t="str">
        <f>"2012"</f>
        <v>2012</v>
      </c>
      <c r="D1100" t="str">
        <f>"Nälkävuosi"</f>
        <v>Nälkävuosi</v>
      </c>
      <c r="E1100" t="str">
        <f t="shared" si="91"/>
        <v>viro</v>
      </c>
      <c r="F1100" t="str">
        <f>"romaanid; proosa"</f>
        <v>romaanid; proosa</v>
      </c>
      <c r="G1100" t="str">
        <f>"  täiskasvanud"</f>
        <v xml:space="preserve">  täiskasvanud</v>
      </c>
      <c r="H1100" t="str">
        <f t="shared" si="90"/>
        <v>2018</v>
      </c>
      <c r="I1100" t="str">
        <f>"Nälja-aasta"</f>
        <v>Nälja-aasta</v>
      </c>
      <c r="J1100" t="str">
        <f>"Nikkarev, Arvi"</f>
        <v>Nikkarev, Arvi</v>
      </c>
      <c r="K1100" t="str">
        <f>"Skarabeus, Saue"</f>
        <v>Skarabeus, Saue</v>
      </c>
      <c r="L1100" t="str">
        <f>""</f>
        <v/>
      </c>
      <c r="M1100" t="str">
        <f>"978-9949-9147-7-7"</f>
        <v>978-9949-9147-7-7</v>
      </c>
    </row>
    <row r="1101" spans="1:13" ht="15">
      <c r="A1101" t="s">
        <v>359</v>
      </c>
      <c r="B1101" t="str">
        <f>"15916"</f>
        <v>15916</v>
      </c>
      <c r="C1101" t="str">
        <f>"2016"</f>
        <v>2016</v>
      </c>
      <c r="D1101" t="str">
        <f>"Volga virtaa nyt Moskovaan : kirjoituksia Neuvostoliitosta"</f>
        <v>Volga virtaa nyt Moskovaan : kirjoituksia Neuvostoliitosta</v>
      </c>
      <c r="E1101" t="str">
        <f t="shared" si="91"/>
        <v>viro</v>
      </c>
      <c r="F1101" t="str">
        <f>""</f>
        <v/>
      </c>
      <c r="G1101" t="str">
        <f>"  täiskasvanud"</f>
        <v xml:space="preserve">  täiskasvanud</v>
      </c>
      <c r="H1101" t="str">
        <f t="shared" si="90"/>
        <v>2018</v>
      </c>
      <c r="I1101" t="str">
        <f>"Volga voolab nüüd Moskvasse"</f>
        <v>Volga voolab nüüd Moskvasse</v>
      </c>
      <c r="J1101" t="str">
        <f>"Saluri, Piret"</f>
        <v>Saluri, Piret</v>
      </c>
      <c r="K1101" t="str">
        <f>"EKSA, Tallinn"</f>
        <v>EKSA, Tallinn</v>
      </c>
      <c r="L1101" t="str">
        <f>""</f>
        <v/>
      </c>
      <c r="M1101" t="str">
        <f>"978-9949-604-42-5"</f>
        <v>978-9949-604-42-5</v>
      </c>
    </row>
    <row r="1102" spans="1:13" ht="15">
      <c r="A1102" t="s">
        <v>367</v>
      </c>
      <c r="B1102" t="str">
        <f>"15876"</f>
        <v>15876</v>
      </c>
      <c r="C1102" t="str">
        <f>"2007"</f>
        <v>2007</v>
      </c>
      <c r="D1102" t="str">
        <f>"Ella ja seitsemän törppöä"</f>
        <v>Ella ja seitsemän törppöä</v>
      </c>
      <c r="E1102" t="str">
        <f t="shared" si="91"/>
        <v>viro</v>
      </c>
      <c r="F1102" t="str">
        <f>"proosa"</f>
        <v>proosa</v>
      </c>
      <c r="G1102" t="str">
        <f>" lapsed ja noored"</f>
        <v xml:space="preserve"> lapsed ja noored</v>
      </c>
      <c r="H1102" t="str">
        <f t="shared" si="90"/>
        <v>2018</v>
      </c>
      <c r="I1102" t="str">
        <f>"Ella ja seitse ohmut"</f>
        <v>Ella ja seitse ohmut</v>
      </c>
      <c r="J1102" t="str">
        <f>"Haasma, Kadi-Riin"</f>
        <v>Haasma, Kadi-Riin</v>
      </c>
      <c r="K1102" t="str">
        <f>"Hea Lugu, Tallinn"</f>
        <v>Hea Lugu, Tallinn</v>
      </c>
      <c r="L1102" t="str">
        <f>""</f>
        <v/>
      </c>
      <c r="M1102" t="str">
        <f>"9789949634439"</f>
        <v>9789949634439</v>
      </c>
    </row>
    <row r="1103" spans="1:13" ht="15">
      <c r="A1103" t="s">
        <v>390</v>
      </c>
      <c r="B1103" t="str">
        <f>"16110"</f>
        <v>16110</v>
      </c>
      <c r="C1103" t="str">
        <f>"2017"</f>
        <v>2017</v>
      </c>
      <c r="D1103" t="str">
        <f>"Lapsi ja ero : eväitä eteenpäin"</f>
        <v>Lapsi ja ero : eväitä eteenpäin</v>
      </c>
      <c r="E1103" t="str">
        <f t="shared" si="91"/>
        <v>viro</v>
      </c>
      <c r="F1103" t="str">
        <f>""</f>
        <v/>
      </c>
      <c r="G1103" t="str">
        <f>"  täiskasvanud"</f>
        <v xml:space="preserve">  täiskasvanud</v>
      </c>
      <c r="H1103" t="str">
        <f t="shared" si="90"/>
        <v>2018</v>
      </c>
      <c r="I1103" t="str">
        <f>"Laps ja lahutus"</f>
        <v>Laps ja lahutus</v>
      </c>
      <c r="J1103" t="str">
        <f>"Paikre, Ants"</f>
        <v>Paikre, Ants</v>
      </c>
      <c r="K1103" t="str">
        <f>"Koolibri, Tallinn"</f>
        <v>Koolibri, Tallinn</v>
      </c>
      <c r="L1103" t="str">
        <f>""</f>
        <v/>
      </c>
      <c r="M1103" t="str">
        <f>"978-9985-0-4042-3"</f>
        <v>978-9985-0-4042-3</v>
      </c>
    </row>
    <row r="1104" spans="1:13" ht="15">
      <c r="A1104" t="s">
        <v>393</v>
      </c>
      <c r="B1104" t="str">
        <f>"16176"</f>
        <v>16176</v>
      </c>
      <c r="C1104" t="str">
        <f>"2017"</f>
        <v>2017</v>
      </c>
      <c r="D1104" t="str">
        <f>"Ruokamysteerit : viisaiden valintojen jäljillä"</f>
        <v>Ruokamysteerit : viisaiden valintojen jäljillä</v>
      </c>
      <c r="E1104" t="str">
        <f t="shared" si="91"/>
        <v>viro</v>
      </c>
      <c r="F1104" t="str">
        <f>""</f>
        <v/>
      </c>
      <c r="G1104" t="str">
        <f>"  täiskasvanud"</f>
        <v xml:space="preserve">  täiskasvanud</v>
      </c>
      <c r="H1104" t="str">
        <f t="shared" si="90"/>
        <v>2018</v>
      </c>
      <c r="I1104" t="str">
        <f>"Toidusaladused"</f>
        <v>Toidusaladused</v>
      </c>
      <c r="J1104" t="str">
        <f>"Rebane, Sirle"</f>
        <v>Rebane, Sirle</v>
      </c>
      <c r="K1104" t="str">
        <f>"Ühinenud Ajakirjad, Tallinn"</f>
        <v>Ühinenud Ajakirjad, Tallinn</v>
      </c>
      <c r="L1104" t="str">
        <f>""</f>
        <v/>
      </c>
      <c r="M1104" t="str">
        <f>"9789949631094"</f>
        <v>9789949631094</v>
      </c>
    </row>
    <row r="1105" spans="1:13" ht="15">
      <c r="A1105" t="s">
        <v>408</v>
      </c>
      <c r="B1105" t="str">
        <f>"15513"</f>
        <v>15513</v>
      </c>
      <c r="C1105" t="str">
        <f>"2018"</f>
        <v>2018</v>
      </c>
      <c r="D1105" t="str">
        <f>"Kalsarikänni : suomalainen opas hyvään elämään"</f>
        <v>Kalsarikänni : suomalainen opas hyvään elämään</v>
      </c>
      <c r="E1105" t="str">
        <f t="shared" si="91"/>
        <v>viro</v>
      </c>
      <c r="F1105" t="str">
        <f>""</f>
        <v/>
      </c>
      <c r="G1105" t="str">
        <f>"  täiskasvanud"</f>
        <v xml:space="preserve">  täiskasvanud</v>
      </c>
      <c r="H1105" t="str">
        <f t="shared" si="90"/>
        <v>2018</v>
      </c>
      <c r="I1105" t="str">
        <f>"Kalsarikänni : mõnus elu Soome moodi"</f>
        <v>Kalsarikänni : mõnus elu Soome moodi</v>
      </c>
      <c r="J1105" t="str">
        <f>"Mõisnik, Mihkel"</f>
        <v>Mõisnik, Mihkel</v>
      </c>
      <c r="K1105" t="str">
        <f>"Post Factum, Tallinn"</f>
        <v>Post Factum, Tallinn</v>
      </c>
      <c r="L1105" t="str">
        <f>""</f>
        <v/>
      </c>
      <c r="M1105" t="str">
        <f>"978-9949-603-79-4"</f>
        <v>978-9949-603-79-4</v>
      </c>
    </row>
    <row r="1106" spans="1:13" ht="15">
      <c r="A1106" t="s">
        <v>418</v>
      </c>
      <c r="B1106" t="str">
        <f>"16177"</f>
        <v>16177</v>
      </c>
      <c r="C1106" t="str">
        <f>"2015"</f>
        <v>2015</v>
      </c>
      <c r="D1106" t="str">
        <f>"Ukrainan historia"</f>
        <v>Ukrainan historia</v>
      </c>
      <c r="E1106" t="str">
        <f t="shared" si="91"/>
        <v>viro</v>
      </c>
      <c r="F1106" t="str">
        <f>""</f>
        <v/>
      </c>
      <c r="G1106" t="str">
        <f>"  täiskasvanud"</f>
        <v xml:space="preserve">  täiskasvanud</v>
      </c>
      <c r="H1106" t="str">
        <f t="shared" si="90"/>
        <v>2018</v>
      </c>
      <c r="I1106" t="str">
        <f>"Ukraina ajalugu"</f>
        <v>Ukraina ajalugu</v>
      </c>
      <c r="J1106" t="str">
        <f>"Kaaber, Ene"</f>
        <v>Kaaber, Ene</v>
      </c>
      <c r="K1106" t="str">
        <f>"EKSA, Tallinn"</f>
        <v>EKSA, Tallinn</v>
      </c>
      <c r="L1106" t="str">
        <f>""</f>
        <v/>
      </c>
      <c r="M1106" t="str">
        <f>"978-9949-604-37-1\t"</f>
        <v>978-9949-604-37-1\t</v>
      </c>
    </row>
    <row r="1107" spans="1:13" ht="15">
      <c r="A1107" t="s">
        <v>439</v>
      </c>
      <c r="B1107" t="str">
        <f>"15792"</f>
        <v>15792</v>
      </c>
      <c r="C1107" t="str">
        <f>"1984"</f>
        <v>1984</v>
      </c>
      <c r="D1107" t="str">
        <f>"Kainin tytär"</f>
        <v>Kainin tytär</v>
      </c>
      <c r="E1107" t="str">
        <f t="shared" si="91"/>
        <v>viro</v>
      </c>
      <c r="F1107" t="str">
        <f>"romaanid; proosa"</f>
        <v>romaanid; proosa</v>
      </c>
      <c r="G1107" t="str">
        <f>"  täiskasvanud"</f>
        <v xml:space="preserve">  täiskasvanud</v>
      </c>
      <c r="H1107" t="str">
        <f t="shared" si="90"/>
        <v>2018</v>
      </c>
      <c r="I1107" t="str">
        <f>"Kaini tütar"</f>
        <v>Kaini tütar</v>
      </c>
      <c r="J1107" t="str">
        <f>"Lagerspetz, Hille"</f>
        <v>Lagerspetz, Hille</v>
      </c>
      <c r="K1107" t="str">
        <f>"Loomingu raamatukogu, Tallinn"</f>
        <v>Loomingu raamatukogu, Tallinn</v>
      </c>
      <c r="L1107" t="str">
        <f>""</f>
        <v/>
      </c>
      <c r="M1107" t="str">
        <f>"9789949638260"</f>
        <v>9789949638260</v>
      </c>
    </row>
    <row r="1108" spans="1:13" ht="15">
      <c r="A1108" t="s">
        <v>456</v>
      </c>
      <c r="B1108" t="str">
        <f>"13957"</f>
        <v>13957</v>
      </c>
      <c r="C1108" t="str">
        <f>"2016"</f>
        <v>2016</v>
      </c>
      <c r="D1108" t="str">
        <f>"Hammurabin enkelit"</f>
        <v>Hammurabin enkelit</v>
      </c>
      <c r="E1108" t="str">
        <f t="shared" si="91"/>
        <v>viro</v>
      </c>
      <c r="F1108" t="str">
        <f>"romaanid; põnevus- ja krimikirjandus; proosa"</f>
        <v>romaanid; põnevus- ja krimikirjandus; proosa</v>
      </c>
      <c r="G1108" t="str">
        <f>"  täiskasvanud"</f>
        <v xml:space="preserve">  täiskasvanud</v>
      </c>
      <c r="H1108" t="str">
        <f t="shared" si="90"/>
        <v>2018</v>
      </c>
      <c r="I1108" t="str">
        <f>"Hammurapi inglid"</f>
        <v>Hammurapi inglid</v>
      </c>
      <c r="J1108" t="str">
        <f>"Aimla-Laid, Triin"</f>
        <v>Aimla-Laid, Triin</v>
      </c>
      <c r="K1108" t="str">
        <f>"Pegasus, Tallinn"</f>
        <v>Pegasus, Tallinn</v>
      </c>
      <c r="L1108" t="str">
        <f>""</f>
        <v/>
      </c>
      <c r="M1108" t="str">
        <f>"9789949647255"</f>
        <v>9789949647255</v>
      </c>
    </row>
    <row r="1109" spans="1:13" ht="15">
      <c r="A1109" t="s">
        <v>471</v>
      </c>
      <c r="B1109" t="str">
        <f>"16110"</f>
        <v>16110</v>
      </c>
      <c r="C1109" t="str">
        <f>"2017"</f>
        <v>2017</v>
      </c>
      <c r="D1109" t="str">
        <f>"Lapsi ja ero : eväitä eteenpäin"</f>
        <v>Lapsi ja ero : eväitä eteenpäin</v>
      </c>
      <c r="E1109" t="str">
        <f t="shared" si="91"/>
        <v>viro</v>
      </c>
      <c r="F1109" t="str">
        <f>""</f>
        <v/>
      </c>
      <c r="G1109" t="str">
        <f>"  täiskasvanud"</f>
        <v xml:space="preserve">  täiskasvanud</v>
      </c>
      <c r="H1109" t="str">
        <f t="shared" si="90"/>
        <v>2018</v>
      </c>
      <c r="I1109" t="str">
        <f>"Laps ja lahutus"</f>
        <v>Laps ja lahutus</v>
      </c>
      <c r="J1109" t="str">
        <f>"Paikre, Ants"</f>
        <v>Paikre, Ants</v>
      </c>
      <c r="K1109" t="str">
        <f>"Koolibri, Tallinn"</f>
        <v>Koolibri, Tallinn</v>
      </c>
      <c r="L1109" t="str">
        <f>""</f>
        <v/>
      </c>
      <c r="M1109" t="str">
        <f>"978-9985-0-4042-3"</f>
        <v>978-9985-0-4042-3</v>
      </c>
    </row>
    <row r="1110" spans="1:13" ht="15">
      <c r="A1110" t="s">
        <v>478</v>
      </c>
      <c r="B1110" t="str">
        <f>"16022"</f>
        <v>16022</v>
      </c>
      <c r="C1110" t="str">
        <f>"2018"</f>
        <v>2018</v>
      </c>
      <c r="D1110" t="str">
        <f>"Pieni pahan mielen kirja"</f>
        <v>Pieni pahan mielen kirja</v>
      </c>
      <c r="E1110" t="str">
        <f t="shared" si="91"/>
        <v>viro</v>
      </c>
      <c r="F1110" t="str">
        <f>""</f>
        <v/>
      </c>
      <c r="G1110" t="str">
        <f>"  täiskasvanud"</f>
        <v xml:space="preserve">  täiskasvanud</v>
      </c>
      <c r="H1110" t="str">
        <f t="shared" si="90"/>
        <v>2018</v>
      </c>
      <c r="I1110" t="str">
        <f>"Väike paha tuju raamat"</f>
        <v>Väike paha tuju raamat</v>
      </c>
      <c r="J1110" t="str">
        <f>"Lemetti, Piret"</f>
        <v>Lemetti, Piret</v>
      </c>
      <c r="K1110" t="str">
        <f>"Eesti Raamat, Tallinn"</f>
        <v>Eesti Raamat, Tallinn</v>
      </c>
      <c r="L1110" t="str">
        <f>""</f>
        <v/>
      </c>
      <c r="M1110" t="str">
        <f>"9789949658329"</f>
        <v>9789949658329</v>
      </c>
    </row>
    <row r="1111" spans="1:13" ht="15">
      <c r="A1111" t="s">
        <v>491</v>
      </c>
      <c r="B1111" t="str">
        <f>"15590"</f>
        <v>15590</v>
      </c>
      <c r="C1111" t="str">
        <f>"2017"</f>
        <v>2017</v>
      </c>
      <c r="D1111" t="str">
        <f>"Murra tunnelukkosi : työstä tunteet, toimi toisin"</f>
        <v>Murra tunnelukkosi : työstä tunteet, toimi toisin</v>
      </c>
      <c r="E1111" t="str">
        <f t="shared" si="91"/>
        <v>viro</v>
      </c>
      <c r="F1111" t="str">
        <f>""</f>
        <v/>
      </c>
      <c r="G1111" t="str">
        <f>"  täiskasvanud"</f>
        <v xml:space="preserve">  täiskasvanud</v>
      </c>
      <c r="H1111" t="str">
        <f t="shared" si="90"/>
        <v>2018</v>
      </c>
      <c r="I1111" t="str">
        <f>"Murra tundelukke"</f>
        <v>Murra tundelukke</v>
      </c>
      <c r="J1111" t="str">
        <f>"Tallo, Toomas"</f>
        <v>Tallo, Toomas</v>
      </c>
      <c r="K1111" t="str">
        <f>"Varrak, Tallinn"</f>
        <v>Varrak, Tallinn</v>
      </c>
      <c r="L1111" t="str">
        <f>""</f>
        <v/>
      </c>
      <c r="M1111" t="str">
        <f>"9789985344682"</f>
        <v>9789985344682</v>
      </c>
    </row>
    <row r="1112" spans="1:13" ht="15">
      <c r="A1112" t="s">
        <v>514</v>
      </c>
      <c r="B1112" t="str">
        <f>"15932"</f>
        <v>15932</v>
      </c>
      <c r="C1112" t="str">
        <f>"1978"</f>
        <v>1978</v>
      </c>
      <c r="D1112" t="str">
        <f>"Århundradets kärlekssaga"</f>
        <v>Århundradets kärlekssaga</v>
      </c>
      <c r="E1112" t="str">
        <f t="shared" si="91"/>
        <v>viro</v>
      </c>
      <c r="F1112" t="str">
        <f>"luule, lüürika"</f>
        <v>luule, lüürika</v>
      </c>
      <c r="G1112" t="str">
        <f>"  täiskasvanud"</f>
        <v xml:space="preserve">  täiskasvanud</v>
      </c>
      <c r="H1112" t="str">
        <f t="shared" si="90"/>
        <v>2018</v>
      </c>
      <c r="I1112" t="str">
        <f>"Sajandi armastuslugu"</f>
        <v>Sajandi armastuslugu</v>
      </c>
      <c r="J1112" t="str">
        <f>"Aaloe, Ülev"</f>
        <v>Aaloe, Ülev</v>
      </c>
      <c r="K1112" t="str">
        <f>"Koolibri, Tallinn"</f>
        <v>Koolibri, Tallinn</v>
      </c>
      <c r="L1112" t="str">
        <f>""</f>
        <v/>
      </c>
      <c r="M1112" t="str">
        <f>"9789985040973"</f>
        <v>9789985040973</v>
      </c>
    </row>
    <row r="1113" spans="1:13" ht="15">
      <c r="A1113" t="s">
        <v>515</v>
      </c>
      <c r="B1113" t="str">
        <f>"16633"</f>
        <v>16633</v>
      </c>
      <c r="C1113" t="str">
        <f>"2017"</f>
        <v>2017</v>
      </c>
      <c r="D1113" t="str">
        <f>"Rouva Kasviksen parhaat"</f>
        <v>Rouva Kasviksen parhaat</v>
      </c>
      <c r="E1113" t="str">
        <f t="shared" si="91"/>
        <v>viro</v>
      </c>
      <c r="F1113" t="str">
        <f>""</f>
        <v/>
      </c>
      <c r="G1113" t="str">
        <f>"  täiskasvanud"</f>
        <v xml:space="preserve">  täiskasvanud</v>
      </c>
      <c r="H1113" t="str">
        <f t="shared" si="90"/>
        <v>2018</v>
      </c>
      <c r="I1113" t="str">
        <f>"Proua Aedvilja värvilised toidud"</f>
        <v>Proua Aedvilja värvilised toidud</v>
      </c>
      <c r="J1113" t="str">
        <f>"Vingissar, Marika"</f>
        <v>Vingissar, Marika</v>
      </c>
      <c r="K1113" t="str">
        <f>"Ühinenud Ajakirjad, Tallinn"</f>
        <v>Ühinenud Ajakirjad, Tallinn</v>
      </c>
      <c r="L1113" t="str">
        <f>""</f>
        <v/>
      </c>
      <c r="M1113" t="str">
        <f>"9789949631186"</f>
        <v>9789949631186</v>
      </c>
    </row>
    <row r="1114" spans="1:13" ht="15">
      <c r="A1114" t="s">
        <v>517</v>
      </c>
      <c r="B1114" t="str">
        <f>"15774"</f>
        <v>15774</v>
      </c>
      <c r="C1114" t="str">
        <f>"2015"</f>
        <v>2015</v>
      </c>
      <c r="D1114" t="str">
        <f>"Tatun ja Patun ihmeellinen joulu"</f>
        <v>Tatun ja Patun ihmeellinen joulu</v>
      </c>
      <c r="E1114" t="str">
        <f t="shared" si="91"/>
        <v>viro</v>
      </c>
      <c r="F1114" t="str">
        <f>"pildiraamatud"</f>
        <v>pildiraamatud</v>
      </c>
      <c r="G1114" t="str">
        <f>" lapsed ja noored"</f>
        <v xml:space="preserve"> lapsed ja noored</v>
      </c>
      <c r="H1114" t="str">
        <f t="shared" si="90"/>
        <v>2018</v>
      </c>
      <c r="I1114" t="str">
        <f>"Teedu ja Peedu imepärased jõulud"</f>
        <v>Teedu ja Peedu imepärased jõulud</v>
      </c>
      <c r="J1114" t="str">
        <f>"Lagerspetz, Hille"</f>
        <v>Lagerspetz, Hille</v>
      </c>
      <c r="K1114" t="str">
        <f>"Hea Lugu, Tallinn"</f>
        <v>Hea Lugu, Tallinn</v>
      </c>
      <c r="L1114" t="str">
        <f>""</f>
        <v/>
      </c>
      <c r="M1114" t="str">
        <f>"9789949634835"</f>
        <v>9789949634835</v>
      </c>
    </row>
    <row r="1115" spans="1:13" ht="15">
      <c r="A1115" t="s">
        <v>527</v>
      </c>
      <c r="B1115" t="str">
        <f>"15367"</f>
        <v>15367</v>
      </c>
      <c r="C1115" t="str">
        <f>"2016"</f>
        <v>2016</v>
      </c>
      <c r="D1115" t="str">
        <f>"Naondel : krönikor från Röda klostret"</f>
        <v>Naondel : krönikor från Röda klostret</v>
      </c>
      <c r="E1115" t="str">
        <f t="shared" si="91"/>
        <v>viro</v>
      </c>
      <c r="F1115" t="str">
        <f>"romaanid; fantasiakirjallisuus; proosa"</f>
        <v>romaanid; fantasiakirjallisuus; proosa</v>
      </c>
      <c r="G1115" t="str">
        <f>" lapsed ja noored"</f>
        <v xml:space="preserve"> lapsed ja noored</v>
      </c>
      <c r="H1115" t="str">
        <f t="shared" si="90"/>
        <v>2018</v>
      </c>
      <c r="I1115" t="str">
        <f>"Naondel : Punase kloostri kroonikad"</f>
        <v>Naondel : Punase kloostri kroonikad</v>
      </c>
      <c r="J1115" t="str">
        <f>"Väin, Raili"</f>
        <v>Väin, Raili</v>
      </c>
      <c r="K1115" t="str">
        <f>"Varrak, Tallinn"</f>
        <v>Varrak, Tallinn</v>
      </c>
      <c r="L1115" t="str">
        <f>""</f>
        <v/>
      </c>
      <c r="M1115" t="str">
        <f>"978-9985-3-4491-0"</f>
        <v>978-9985-3-4491-0</v>
      </c>
    </row>
    <row r="1116" spans="1:13" ht="15">
      <c r="A1116" t="s">
        <v>548</v>
      </c>
      <c r="B1116" t="str">
        <f>"16178"</f>
        <v>16178</v>
      </c>
      <c r="C1116" t="str">
        <f>"2015"</f>
        <v>2015</v>
      </c>
      <c r="D1116" t="str">
        <f>"Solženitsyn : elämä ja eetos"</f>
        <v>Solženitsyn : elämä ja eetos</v>
      </c>
      <c r="E1116" t="str">
        <f t="shared" si="91"/>
        <v>viro</v>
      </c>
      <c r="F1116" t="str">
        <f>""</f>
        <v/>
      </c>
      <c r="G1116" t="str">
        <f>"  täiskasvanud"</f>
        <v xml:space="preserve">  täiskasvanud</v>
      </c>
      <c r="H1116" t="str">
        <f t="shared" si="90"/>
        <v>2018</v>
      </c>
      <c r="I1116" t="str">
        <f>"Solženitsõn : elu ja eetos"</f>
        <v>Solženitsõn : elu ja eetos</v>
      </c>
      <c r="J1116" t="str">
        <f>"Berg, Maimu, Liivak, Sander"</f>
        <v>Berg, Maimu, Liivak, Sander</v>
      </c>
      <c r="K1116" t="str">
        <f>"Tänapäev, Tallinn"</f>
        <v>Tänapäev, Tallinn</v>
      </c>
      <c r="L1116" t="str">
        <f>""</f>
        <v/>
      </c>
      <c r="M1116" t="str">
        <f>"9789949854172"</f>
        <v>9789949854172</v>
      </c>
    </row>
    <row r="1117" spans="1:13" ht="15">
      <c r="A1117" t="s">
        <v>559</v>
      </c>
      <c r="B1117" t="str">
        <f>"15363"</f>
        <v>15363</v>
      </c>
      <c r="C1117" t="str">
        <f>"2017"</f>
        <v>2017</v>
      </c>
      <c r="D1117" t="str">
        <f>"Aino Kallas : Maailman sydämessä"</f>
        <v>Aino Kallas : Maailman sydämessä</v>
      </c>
      <c r="E1117" t="str">
        <f t="shared" si="91"/>
        <v>viro</v>
      </c>
      <c r="F1117" t="str">
        <f>""</f>
        <v/>
      </c>
      <c r="G1117" t="str">
        <f>"  täiskasvanud"</f>
        <v xml:space="preserve">  täiskasvanud</v>
      </c>
      <c r="H1117" t="str">
        <f t="shared" si="90"/>
        <v>2018</v>
      </c>
      <c r="I1117" t="str">
        <f>"Aino Kallas : maailma südames"</f>
        <v>Aino Kallas : maailma südames</v>
      </c>
      <c r="J1117" t="str">
        <f>"Olesk, Sirje"</f>
        <v>Olesk, Sirje</v>
      </c>
      <c r="K1117" t="str">
        <f>"Varrak, Tallinn"</f>
        <v>Varrak, Tallinn</v>
      </c>
      <c r="L1117" t="str">
        <f>""</f>
        <v/>
      </c>
      <c r="M1117" t="str">
        <f>"978-9985-3-4445-3"</f>
        <v>978-9985-3-4445-3</v>
      </c>
    </row>
    <row r="1118" spans="1:13" ht="15">
      <c r="A1118" t="s">
        <v>564</v>
      </c>
      <c r="B1118" t="str">
        <f>"15914"</f>
        <v>15914</v>
      </c>
      <c r="C1118" t="str">
        <f>"2017"</f>
        <v>2017</v>
      </c>
      <c r="D1118" t="str">
        <f>"Den svavelgula himlen"</f>
        <v>Den svavelgula himlen</v>
      </c>
      <c r="E1118" t="str">
        <f t="shared" si="91"/>
        <v>viro</v>
      </c>
      <c r="F1118" t="str">
        <f>"romaanid; proosa"</f>
        <v>romaanid; proosa</v>
      </c>
      <c r="G1118" t="str">
        <f>"  täiskasvanud"</f>
        <v xml:space="preserve">  täiskasvanud</v>
      </c>
      <c r="H1118" t="str">
        <f t="shared" si="90"/>
        <v>2018</v>
      </c>
      <c r="I1118" t="str">
        <f>"Väävelkollane taevas"</f>
        <v>Väävelkollane taevas</v>
      </c>
      <c r="J1118" t="str">
        <f>"Arnover, Tõnis"</f>
        <v>Arnover, Tõnis</v>
      </c>
      <c r="K1118" t="str">
        <f>"Eesti Raamat, Tallinn"</f>
        <v>Eesti Raamat, Tallinn</v>
      </c>
      <c r="L1118" t="str">
        <f>""</f>
        <v/>
      </c>
      <c r="M1118" t="str">
        <f>"978-9949-622-54-2"</f>
        <v>978-9949-622-54-2</v>
      </c>
    </row>
    <row r="1119" spans="1:13" ht="15">
      <c r="A1119" t="s">
        <v>27</v>
      </c>
      <c r="B1119" t="str">
        <f>"16903"</f>
        <v>16903</v>
      </c>
      <c r="C1119" t="str">
        <f>"2017"</f>
        <v>2017</v>
      </c>
      <c r="D1119" t="str">
        <f>"Vakoojat : Vilho Pentikäisen pako ja neuvostovakoilun romahdus 1933"</f>
        <v>Vakoojat : Vilho Pentikäisen pako ja neuvostovakoilun romahdus 1933</v>
      </c>
      <c r="E1119" t="str">
        <f t="shared" si="91"/>
        <v>viro</v>
      </c>
      <c r="F1119" t="str">
        <f>""</f>
        <v/>
      </c>
      <c r="G1119" t="str">
        <f>"  täiskasvanud"</f>
        <v xml:space="preserve">  täiskasvanud</v>
      </c>
      <c r="H1119" t="str">
        <f aca="true" t="shared" si="92" ref="H1119:H1150">"2019"</f>
        <v>2019</v>
      </c>
      <c r="I1119" t="str">
        <f>"Spioonid"</f>
        <v>Spioonid</v>
      </c>
      <c r="J1119" t="str">
        <f>"Paikre, Ants"</f>
        <v>Paikre, Ants</v>
      </c>
      <c r="K1119" t="str">
        <f>"Koolibri, Tallinn"</f>
        <v>Koolibri, Tallinn</v>
      </c>
      <c r="L1119" t="str">
        <f>""</f>
        <v/>
      </c>
      <c r="M1119" t="str">
        <f>"978-9985-0-4285-4"</f>
        <v>978-9985-0-4285-4</v>
      </c>
    </row>
    <row r="1120" spans="1:13" ht="15">
      <c r="A1120" t="s">
        <v>40</v>
      </c>
      <c r="B1120" t="str">
        <f>"16959"</f>
        <v>16959</v>
      </c>
      <c r="C1120" t="str">
        <f>"2008"</f>
        <v>2008</v>
      </c>
      <c r="D1120" t="str">
        <f>"Barndom : roman"</f>
        <v>Barndom : roman</v>
      </c>
      <c r="E1120" t="str">
        <f t="shared" si="91"/>
        <v>viro</v>
      </c>
      <c r="F1120" t="str">
        <f>"romaanid; proosa"</f>
        <v>romaanid; proosa</v>
      </c>
      <c r="G1120" t="str">
        <f>"  täiskasvanud"</f>
        <v xml:space="preserve">  täiskasvanud</v>
      </c>
      <c r="H1120" t="str">
        <f t="shared" si="92"/>
        <v>2019</v>
      </c>
      <c r="I1120" t="str">
        <f>"Lapsepõli"</f>
        <v>Lapsepõli</v>
      </c>
      <c r="J1120" t="str">
        <f>"Arnover, Tõnis"</f>
        <v>Arnover, Tõnis</v>
      </c>
      <c r="K1120" t="str">
        <f>"Eesti Raamat, Tallinn"</f>
        <v>Eesti Raamat, Tallinn</v>
      </c>
      <c r="L1120" t="str">
        <f>""</f>
        <v/>
      </c>
      <c r="M1120" t="str">
        <f>"978-9949-683-16-1"</f>
        <v>978-9949-683-16-1</v>
      </c>
    </row>
    <row r="1121" spans="1:13" ht="15">
      <c r="A1121" t="s">
        <v>45</v>
      </c>
      <c r="B1121" t="str">
        <f>"15930"</f>
        <v>15930</v>
      </c>
      <c r="C1121" t="str">
        <f>"2018"</f>
        <v>2018</v>
      </c>
      <c r="D1121" t="str">
        <f>"Pärlfiskaren"</f>
        <v>Pärlfiskaren</v>
      </c>
      <c r="E1121" t="str">
        <f t="shared" si="91"/>
        <v>viro</v>
      </c>
      <c r="F1121" t="str">
        <f>"romaanid; muinasjutud; proosa"</f>
        <v>romaanid; muinasjutud; proosa</v>
      </c>
      <c r="G1121" t="str">
        <f>" lapsed ja noored"</f>
        <v xml:space="preserve"> lapsed ja noored</v>
      </c>
      <c r="H1121" t="str">
        <f t="shared" si="92"/>
        <v>2019</v>
      </c>
      <c r="I1121" t="str">
        <f>"Pärlipüüdja"</f>
        <v>Pärlipüüdja</v>
      </c>
      <c r="J1121" t="str">
        <f>"Okas, Kadri"</f>
        <v>Okas, Kadri</v>
      </c>
      <c r="K1121" t="str">
        <f>"Sinisukk, Tallinn"</f>
        <v>Sinisukk, Tallinn</v>
      </c>
      <c r="L1121" t="str">
        <f>""</f>
        <v/>
      </c>
      <c r="M1121" t="str">
        <f>"978-9949-34-797-1"</f>
        <v>978-9949-34-797-1</v>
      </c>
    </row>
    <row r="1122" spans="1:13" ht="15">
      <c r="A1122" t="s">
        <v>68</v>
      </c>
      <c r="B1122" t="str">
        <f>"16765"</f>
        <v>16765</v>
      </c>
      <c r="C1122" t="str">
        <f>"2017"</f>
        <v>2017</v>
      </c>
      <c r="D1122" t="str">
        <f>"Tatun ja Patun ällistyttävä satukirja : kaikkien aikojen ensimmäinen satukirja, jossa on käyttöohjeet!"</f>
        <v>Tatun ja Patun ällistyttävä satukirja : kaikkien aikojen ensimmäinen satukirja, jossa on käyttöohjeet!</v>
      </c>
      <c r="E1122" t="str">
        <f t="shared" si="91"/>
        <v>viro</v>
      </c>
      <c r="F1122" t="str">
        <f>"pildiraamatud"</f>
        <v>pildiraamatud</v>
      </c>
      <c r="G1122" t="str">
        <f>" lapsed ja noored"</f>
        <v xml:space="preserve"> lapsed ja noored</v>
      </c>
      <c r="H1122" t="str">
        <f t="shared" si="92"/>
        <v>2019</v>
      </c>
      <c r="I1122" t="str">
        <f>"Teedu ja Peedu hämmastav muinasjuturaamat"</f>
        <v>Teedu ja Peedu hämmastav muinasjuturaamat</v>
      </c>
      <c r="J1122" t="str">
        <f>"Lagerspetz, Hille"</f>
        <v>Lagerspetz, Hille</v>
      </c>
      <c r="K1122" t="str">
        <f>"Hea Lugu, Tallinn"</f>
        <v>Hea Lugu, Tallinn</v>
      </c>
      <c r="L1122" t="str">
        <f>""</f>
        <v/>
      </c>
      <c r="M1122" t="str">
        <f>" 9789949673841"</f>
        <v xml:space="preserve"> 9789949673841</v>
      </c>
    </row>
    <row r="1123" spans="1:13" ht="15">
      <c r="A1123" t="s">
        <v>83</v>
      </c>
      <c r="B1123" t="str">
        <f>"16468"</f>
        <v>16468</v>
      </c>
      <c r="C1123" t="str">
        <f>"2017"</f>
        <v>2017</v>
      </c>
      <c r="D1123" t="str">
        <f>"Rauhankone : Tekoälytutkijan testamentti"</f>
        <v>Rauhankone : Tekoälytutkijan testamentti</v>
      </c>
      <c r="E1123" t="str">
        <f t="shared" si="91"/>
        <v>viro</v>
      </c>
      <c r="F1123" t="str">
        <f>""</f>
        <v/>
      </c>
      <c r="G1123" t="str">
        <f>"  täiskasvanud"</f>
        <v xml:space="preserve">  täiskasvanud</v>
      </c>
      <c r="H1123" t="str">
        <f t="shared" si="92"/>
        <v>2019</v>
      </c>
      <c r="I1123" t="str">
        <f>"Rahumasin : Tehisintellekti uurija testament"</f>
        <v>Rahumasin : Tehisintellekti uurija testament</v>
      </c>
      <c r="J1123" t="str">
        <f>"Kooli, Rain"</f>
        <v>Kooli, Rain</v>
      </c>
      <c r="K1123" t="str">
        <f>"Koolibri, Tallinn"</f>
        <v>Koolibri, Tallinn</v>
      </c>
      <c r="L1123" t="str">
        <f>""</f>
        <v/>
      </c>
      <c r="M1123" t="str">
        <f>"978-9985-0-4258-8"</f>
        <v>978-9985-0-4258-8</v>
      </c>
    </row>
    <row r="1124" spans="1:13" ht="15">
      <c r="A1124" t="s">
        <v>108</v>
      </c>
      <c r="B1124" t="str">
        <f>"16173"</f>
        <v>16173</v>
      </c>
      <c r="C1124" t="str">
        <f>"2018"</f>
        <v>2018</v>
      </c>
      <c r="D1124" t="str">
        <f>"Sorjonen : viiden sormen harjoitus"</f>
        <v>Sorjonen : viiden sormen harjoitus</v>
      </c>
      <c r="E1124" t="str">
        <f t="shared" si="91"/>
        <v>viro</v>
      </c>
      <c r="F1124" t="str">
        <f>"romaanid; põnevus- ja krimikirjandus; proosa"</f>
        <v>romaanid; põnevus- ja krimikirjandus; proosa</v>
      </c>
      <c r="G1124" t="str">
        <f>"  täiskasvanud"</f>
        <v xml:space="preserve">  täiskasvanud</v>
      </c>
      <c r="H1124" t="str">
        <f t="shared" si="92"/>
        <v>2019</v>
      </c>
      <c r="I1124" t="str">
        <f>"Piirilinn : Viie sõrme harjutus"</f>
        <v>Piirilinn : Viie sõrme harjutus</v>
      </c>
      <c r="J1124" t="str">
        <f>"Maripuu, Tiina"</f>
        <v>Maripuu, Tiina</v>
      </c>
      <c r="K1124" t="str">
        <f>"Postimees, Tartu"</f>
        <v>Postimees, Tartu</v>
      </c>
      <c r="L1124" t="str">
        <f>""</f>
        <v/>
      </c>
      <c r="M1124" t="str">
        <f>"978-9949-669-24-0"</f>
        <v>978-9949-669-24-0</v>
      </c>
    </row>
    <row r="1125" spans="1:13" ht="15">
      <c r="A1125" t="s">
        <v>115</v>
      </c>
      <c r="B1125" t="str">
        <f>"16332"</f>
        <v>16332</v>
      </c>
      <c r="C1125" t="str">
        <f>"2018"</f>
        <v>2018</v>
      </c>
      <c r="D1125" t="str">
        <f>"Taivaanpallo"</f>
        <v>Taivaanpallo</v>
      </c>
      <c r="E1125" t="str">
        <f t="shared" si="91"/>
        <v>viro</v>
      </c>
      <c r="F1125" t="str">
        <f>"romaanid; proosa"</f>
        <v>romaanid; proosa</v>
      </c>
      <c r="G1125" t="str">
        <f>"  täiskasvanud"</f>
        <v xml:space="preserve">  täiskasvanud</v>
      </c>
      <c r="H1125" t="str">
        <f t="shared" si="92"/>
        <v>2019</v>
      </c>
      <c r="I1125" t="str">
        <f>"Taevakumm"</f>
        <v>Taevakumm</v>
      </c>
      <c r="J1125" t="str">
        <f>"Saluri, Piret"</f>
        <v>Saluri, Piret</v>
      </c>
      <c r="K1125" t="str">
        <f>"Hea Lugu, Tallinn"</f>
        <v>Hea Lugu, Tallinn</v>
      </c>
      <c r="L1125" t="str">
        <f>""</f>
        <v/>
      </c>
      <c r="M1125" t="str">
        <f>"978-9949-673-72-8"</f>
        <v>978-9949-673-72-8</v>
      </c>
    </row>
    <row r="1126" spans="1:13" ht="15">
      <c r="A1126" t="s">
        <v>117</v>
      </c>
      <c r="B1126" t="str">
        <f>"17037"</f>
        <v>17037</v>
      </c>
      <c r="C1126" t="str">
        <f>"1968"</f>
        <v>1968</v>
      </c>
      <c r="D1126" t="str">
        <f>"Bildhuggarens dotter"</f>
        <v>Bildhuggarens dotter</v>
      </c>
      <c r="E1126" t="str">
        <f t="shared" si="91"/>
        <v>viro</v>
      </c>
      <c r="F1126" t="str">
        <f>"proosa"</f>
        <v>proosa</v>
      </c>
      <c r="G1126" t="str">
        <f>"  täiskasvanud"</f>
        <v xml:space="preserve">  täiskasvanud</v>
      </c>
      <c r="H1126" t="str">
        <f t="shared" si="92"/>
        <v>2019</v>
      </c>
      <c r="I1126" t="str">
        <f>"Kujuri tütar"</f>
        <v>Kujuri tütar</v>
      </c>
      <c r="J1126" t="str">
        <f>"Beekman, Vladimir"</f>
        <v>Beekman, Vladimir</v>
      </c>
      <c r="K1126" t="str">
        <f>"Hea Lugu, Tallinn"</f>
        <v>Hea Lugu, Tallinn</v>
      </c>
      <c r="L1126" t="str">
        <f>""</f>
        <v/>
      </c>
      <c r="M1126" t="str">
        <f>"9789949673681"</f>
        <v>9789949673681</v>
      </c>
    </row>
    <row r="1127" spans="1:13" ht="15">
      <c r="A1127" t="s">
        <v>133</v>
      </c>
      <c r="B1127" t="str">
        <f>"16871"</f>
        <v>16871</v>
      </c>
      <c r="C1127" t="str">
        <f>"2017"</f>
        <v>2017</v>
      </c>
      <c r="D1127" t="str">
        <f>"Pikku hiiren joulu"</f>
        <v>Pikku hiiren joulu</v>
      </c>
      <c r="E1127" t="str">
        <f t="shared" si="91"/>
        <v>viro</v>
      </c>
      <c r="F1127" t="str">
        <f>"pildiraamatud"</f>
        <v>pildiraamatud</v>
      </c>
      <c r="G1127" t="str">
        <f>" lapsed ja noored"</f>
        <v xml:space="preserve"> lapsed ja noored</v>
      </c>
      <c r="H1127" t="str">
        <f t="shared" si="92"/>
        <v>2019</v>
      </c>
      <c r="I1127" t="str">
        <f>"Väikese hiire jõulud"</f>
        <v>Väikese hiire jõulud</v>
      </c>
      <c r="J1127" t="str">
        <f>"Oidekivi, Dea"</f>
        <v>Oidekivi, Dea</v>
      </c>
      <c r="K1127" t="str">
        <f>"Rahva Raamat, Tallinn"</f>
        <v>Rahva Raamat, Tallinn</v>
      </c>
      <c r="L1127" t="str">
        <f>""</f>
        <v/>
      </c>
      <c r="M1127" t="str">
        <f>"9789949693184"</f>
        <v>9789949693184</v>
      </c>
    </row>
    <row r="1128" spans="1:13" ht="15">
      <c r="A1128" t="s">
        <v>149</v>
      </c>
      <c r="B1128" t="str">
        <f>"15837"</f>
        <v>15837</v>
      </c>
      <c r="C1128" t="str">
        <f>"2016"</f>
        <v>2016</v>
      </c>
      <c r="D1128" t="str">
        <f>"Lujasti lempeä"</f>
        <v>Lujasti lempeä</v>
      </c>
      <c r="E1128" t="str">
        <f t="shared" si="91"/>
        <v>viro</v>
      </c>
      <c r="F1128" t="str">
        <f>""</f>
        <v/>
      </c>
      <c r="G1128" t="str">
        <f>"  täiskasvanud"</f>
        <v xml:space="preserve">  täiskasvanud</v>
      </c>
      <c r="H1128" t="str">
        <f t="shared" si="92"/>
        <v>2019</v>
      </c>
      <c r="I1128" t="str">
        <f>"Nõudlikult leebe"</f>
        <v>Nõudlikult leebe</v>
      </c>
      <c r="J1128" t="str">
        <f>"Rood, Kadri"</f>
        <v>Rood, Kadri</v>
      </c>
      <c r="K1128" t="str">
        <f>"Varrak, Tallinn"</f>
        <v>Varrak, Tallinn</v>
      </c>
      <c r="L1128" t="str">
        <f>""</f>
        <v/>
      </c>
      <c r="M1128" t="str">
        <f>"9789985346006"</f>
        <v>9789985346006</v>
      </c>
    </row>
    <row r="1129" spans="1:13" ht="15">
      <c r="A1129" t="s">
        <v>173</v>
      </c>
      <c r="B1129" t="str">
        <f>"16145"</f>
        <v>16145</v>
      </c>
      <c r="C1129" t="str">
        <f>"2018"</f>
        <v>2018</v>
      </c>
      <c r="D1129" t="str">
        <f>"Rose on poissa"</f>
        <v>Rose on poissa</v>
      </c>
      <c r="E1129" t="str">
        <f t="shared" si="91"/>
        <v>viro</v>
      </c>
      <c r="F1129" t="str">
        <f>"romaanid; proosa"</f>
        <v>romaanid; proosa</v>
      </c>
      <c r="G1129" t="str">
        <f>"  täiskasvanud"</f>
        <v xml:space="preserve">  täiskasvanud</v>
      </c>
      <c r="H1129" t="str">
        <f t="shared" si="92"/>
        <v>2019</v>
      </c>
      <c r="I1129" t="str">
        <f>"Rose on kadunud"</f>
        <v>Rose on kadunud</v>
      </c>
      <c r="J1129" t="str">
        <f>"Jaanits, Kadri"</f>
        <v>Jaanits, Kadri</v>
      </c>
      <c r="K1129" t="str">
        <f>"Koolibri, Tallinn"</f>
        <v>Koolibri, Tallinn</v>
      </c>
      <c r="L1129" t="str">
        <f>""</f>
        <v/>
      </c>
      <c r="M1129" t="str">
        <f>"9789985042663"</f>
        <v>9789985042663</v>
      </c>
    </row>
    <row r="1130" spans="1:13" ht="15">
      <c r="A1130" t="s">
        <v>176</v>
      </c>
      <c r="B1130" t="str">
        <f>"16863"</f>
        <v>16863</v>
      </c>
      <c r="C1130" t="str">
        <f>"2018"</f>
        <v>2018</v>
      </c>
      <c r="D1130" t="str">
        <f>"Iso O : matkaopas huipulle"</f>
        <v>Iso O : matkaopas huipulle</v>
      </c>
      <c r="E1130" t="str">
        <f t="shared" si="91"/>
        <v>viro</v>
      </c>
      <c r="F1130" t="str">
        <f>""</f>
        <v/>
      </c>
      <c r="G1130" t="str">
        <f>"  täiskasvanud"</f>
        <v xml:space="preserve">  täiskasvanud</v>
      </c>
      <c r="H1130" t="str">
        <f t="shared" si="92"/>
        <v>2019</v>
      </c>
      <c r="I1130" t="str">
        <f>"Suur O"</f>
        <v>Suur O</v>
      </c>
      <c r="J1130" t="str">
        <f>"Holm, Rita"</f>
        <v>Holm, Rita</v>
      </c>
      <c r="K1130" t="str">
        <f>"Pegasus, Tallinn"</f>
        <v>Pegasus, Tallinn</v>
      </c>
      <c r="L1130" t="str">
        <f>""</f>
        <v/>
      </c>
      <c r="M1130" t="str">
        <f>"9789949681297"</f>
        <v>9789949681297</v>
      </c>
    </row>
    <row r="1131" spans="1:13" ht="15">
      <c r="A1131" t="s">
        <v>182</v>
      </c>
      <c r="B1131" t="str">
        <f>"18967"</f>
        <v>18967</v>
      </c>
      <c r="C1131" t="str">
        <f>"2013"</f>
        <v>2013</v>
      </c>
      <c r="D1131" t="str">
        <f>"Sovintoon elämän kanssa"</f>
        <v>Sovintoon elämän kanssa</v>
      </c>
      <c r="E1131" t="str">
        <f t="shared" si="91"/>
        <v>viro</v>
      </c>
      <c r="F1131" t="str">
        <f>""</f>
        <v/>
      </c>
      <c r="G1131" t="str">
        <f>"  täiskasvanud"</f>
        <v xml:space="preserve">  täiskasvanud</v>
      </c>
      <c r="H1131" t="str">
        <f t="shared" si="92"/>
        <v>2019</v>
      </c>
      <c r="I1131" t="str">
        <f>"Eluga rahul"</f>
        <v>Eluga rahul</v>
      </c>
      <c r="J1131" t="str">
        <f>"Jaanus, Nelly"</f>
        <v>Jaanus, Nelly</v>
      </c>
      <c r="K1131" t="str">
        <f>"Allika, Tallinn"</f>
        <v>Allika, Tallinn</v>
      </c>
      <c r="L1131" t="str">
        <f>""</f>
        <v/>
      </c>
      <c r="M1131" t="str">
        <f>"9789949591343 "</f>
        <v xml:space="preserve">9789949591343 </v>
      </c>
    </row>
    <row r="1132" spans="1:13" ht="15">
      <c r="A1132" t="s">
        <v>184</v>
      </c>
      <c r="B1132" t="str">
        <f>"16690"</f>
        <v>16690</v>
      </c>
      <c r="C1132" t="str">
        <f>"2018"</f>
        <v>2018</v>
      </c>
      <c r="D1132" t="str">
        <f>"Molli ja Kumma"</f>
        <v>Molli ja Kumma</v>
      </c>
      <c r="E1132" t="str">
        <f t="shared" si="91"/>
        <v>viro</v>
      </c>
      <c r="F1132" t="str">
        <f>"pildiraamatud"</f>
        <v>pildiraamatud</v>
      </c>
      <c r="G1132" t="str">
        <f>" lapsed ja noored"</f>
        <v xml:space="preserve"> lapsed ja noored</v>
      </c>
      <c r="H1132" t="str">
        <f t="shared" si="92"/>
        <v>2019</v>
      </c>
      <c r="I1132" t="str">
        <f>"Molli ja isevärki olevus"</f>
        <v>Molli ja isevärki olevus</v>
      </c>
      <c r="J1132" t="str">
        <f>"Lagerspetz, Hille"</f>
        <v>Lagerspetz, Hille</v>
      </c>
      <c r="K1132" t="str">
        <f>"Helios, Tallinn"</f>
        <v>Helios, Tallinn</v>
      </c>
      <c r="L1132" t="str">
        <f>""</f>
        <v/>
      </c>
      <c r="M1132" t="str">
        <f>"978-9949-610-95-2"</f>
        <v>978-9949-610-95-2</v>
      </c>
    </row>
    <row r="1133" spans="1:13" ht="15">
      <c r="A1133" t="s">
        <v>234</v>
      </c>
      <c r="B1133" t="str">
        <f>"18969"</f>
        <v>18969</v>
      </c>
      <c r="C1133" t="str">
        <f>"2019"</f>
        <v>2019</v>
      </c>
      <c r="D1133" t="str">
        <f>"Satumaiset silmukat : neulo villasukkia ja lapasia"</f>
        <v>Satumaiset silmukat : neulo villasukkia ja lapasia</v>
      </c>
      <c r="E1133" t="str">
        <f t="shared" si="91"/>
        <v>viro</v>
      </c>
      <c r="F1133" t="str">
        <f>""</f>
        <v/>
      </c>
      <c r="G1133" t="str">
        <f>"  täiskasvanud"</f>
        <v xml:space="preserve">  täiskasvanud</v>
      </c>
      <c r="H1133" t="str">
        <f t="shared" si="92"/>
        <v>2019</v>
      </c>
      <c r="I1133" t="str">
        <f>"Muinasjutulised silmused"</f>
        <v>Muinasjutulised silmused</v>
      </c>
      <c r="J1133" t="str">
        <f>"Plado, Helen"</f>
        <v>Plado, Helen</v>
      </c>
      <c r="K1133" t="str">
        <f>"Tänapäev, Tallinn"</f>
        <v>Tänapäev, Tallinn</v>
      </c>
      <c r="L1133" t="str">
        <f>""</f>
        <v/>
      </c>
      <c r="M1133" t="str">
        <f>"9789949856114"</f>
        <v>9789949856114</v>
      </c>
    </row>
    <row r="1134" spans="1:13" ht="15">
      <c r="A1134" t="s">
        <v>249</v>
      </c>
      <c r="B1134" t="str">
        <f>"15944"</f>
        <v>15944</v>
      </c>
      <c r="C1134" t="str">
        <f>"1995"</f>
        <v>1995</v>
      </c>
      <c r="D1134" t="str">
        <f>"Kuparisydän"</f>
        <v>Kuparisydän</v>
      </c>
      <c r="E1134" t="str">
        <f t="shared" si="91"/>
        <v>viro</v>
      </c>
      <c r="F1134" t="str">
        <f>"romaanid; põnevus- ja krimikirjandus; proosa"</f>
        <v>romaanid; põnevus- ja krimikirjandus; proosa</v>
      </c>
      <c r="G1134" t="str">
        <f>"  täiskasvanud"</f>
        <v xml:space="preserve">  täiskasvanud</v>
      </c>
      <c r="H1134" t="str">
        <f t="shared" si="92"/>
        <v>2019</v>
      </c>
      <c r="I1134" t="str">
        <f>"Vasksüda"</f>
        <v>Vasksüda</v>
      </c>
      <c r="J1134" t="str">
        <f>"Aimla-Laid, Triin"</f>
        <v>Aimla-Laid, Triin</v>
      </c>
      <c r="K1134" t="str">
        <f>"Pegasus, Tallinn"</f>
        <v>Pegasus, Tallinn</v>
      </c>
      <c r="L1134" t="str">
        <f>""</f>
        <v/>
      </c>
      <c r="M1134" t="str">
        <f>"978-9949-681-21-1"</f>
        <v>978-9949-681-21-1</v>
      </c>
    </row>
    <row r="1135" spans="1:13" ht="15">
      <c r="A1135" t="s">
        <v>353</v>
      </c>
      <c r="B1135" t="str">
        <f>"17052"</f>
        <v>17052</v>
      </c>
      <c r="C1135" t="str">
        <f>"2013"</f>
        <v>2013</v>
      </c>
      <c r="D1135" t="str">
        <f>"Poika joka menetti muistinsa"</f>
        <v>Poika joka menetti muistinsa</v>
      </c>
      <c r="E1135" t="str">
        <f t="shared" si="91"/>
        <v>viro</v>
      </c>
      <c r="F1135" t="str">
        <f>"romaanid; proosa"</f>
        <v>romaanid; proosa</v>
      </c>
      <c r="G1135" t="str">
        <f>" lapsed ja noored"</f>
        <v xml:space="preserve"> lapsed ja noored</v>
      </c>
      <c r="H1135" t="str">
        <f t="shared" si="92"/>
        <v>2019</v>
      </c>
      <c r="I1135" t="str">
        <f>"Poiss, kes kaotas mälu"</f>
        <v>Poiss, kes kaotas mälu</v>
      </c>
      <c r="J1135" t="str">
        <f>"Leek, Ave"</f>
        <v>Leek, Ave</v>
      </c>
      <c r="K1135" t="str">
        <f>"Tiritamm, Tallinn"</f>
        <v>Tiritamm, Tallinn</v>
      </c>
      <c r="L1135" t="str">
        <f>""</f>
        <v/>
      </c>
      <c r="M1135" t="str">
        <f>"978-9985-55-333-6"</f>
        <v>978-9985-55-333-6</v>
      </c>
    </row>
    <row r="1136" spans="1:13" ht="15">
      <c r="A1136" t="s">
        <v>367</v>
      </c>
      <c r="B1136" t="str">
        <f>"17334"</f>
        <v>17334</v>
      </c>
      <c r="C1136" t="str">
        <f>"2009"</f>
        <v>2009</v>
      </c>
      <c r="D1136" t="str">
        <f>"Ella ja jättipotti"</f>
        <v>Ella ja jättipotti</v>
      </c>
      <c r="E1136" t="str">
        <f t="shared" si="91"/>
        <v>viro</v>
      </c>
      <c r="F1136" t="str">
        <f>"proosa"</f>
        <v>proosa</v>
      </c>
      <c r="G1136" t="str">
        <f>" lapsed ja noored"</f>
        <v xml:space="preserve"> lapsed ja noored</v>
      </c>
      <c r="H1136" t="str">
        <f t="shared" si="92"/>
        <v>2019</v>
      </c>
      <c r="I1136" t="str">
        <f>"Ella ja peavõit"</f>
        <v>Ella ja peavõit</v>
      </c>
      <c r="J1136" t="str">
        <f>"Haasma, Kadi-Riin"</f>
        <v>Haasma, Kadi-Riin</v>
      </c>
      <c r="K1136" t="str">
        <f>"Hea Lugu, Tallinn"</f>
        <v>Hea Lugu, Tallinn</v>
      </c>
      <c r="L1136" t="str">
        <f>""</f>
        <v/>
      </c>
      <c r="M1136" t="str">
        <f>"9789949673582"</f>
        <v>9789949673582</v>
      </c>
    </row>
    <row r="1137" spans="1:13" ht="15">
      <c r="A1137" t="s">
        <v>367</v>
      </c>
      <c r="B1137" t="str">
        <f>"16208"</f>
        <v>16208</v>
      </c>
      <c r="C1137" t="str">
        <f>"2008"</f>
        <v>2008</v>
      </c>
      <c r="D1137" t="str">
        <f>"Ella ja Äf Yksi"</f>
        <v>Ella ja Äf Yksi</v>
      </c>
      <c r="E1137" t="str">
        <f t="shared" si="91"/>
        <v>viro</v>
      </c>
      <c r="F1137" t="str">
        <f>"proosa"</f>
        <v>proosa</v>
      </c>
      <c r="G1137" t="str">
        <f>" lapsed ja noored"</f>
        <v xml:space="preserve"> lapsed ja noored</v>
      </c>
      <c r="H1137" t="str">
        <f t="shared" si="92"/>
        <v>2019</v>
      </c>
      <c r="I1137" t="str">
        <f>"Ella ja Eff Üks"</f>
        <v>Ella ja Eff Üks</v>
      </c>
      <c r="J1137" t="str">
        <f>"Haasma, Kadi-Riin"</f>
        <v>Haasma, Kadi-Riin</v>
      </c>
      <c r="K1137" t="str">
        <f>"Hea Lugu, Tallinn"</f>
        <v>Hea Lugu, Tallinn</v>
      </c>
      <c r="L1137" t="str">
        <f>""</f>
        <v/>
      </c>
      <c r="M1137" t="str">
        <f>"9789949673186"</f>
        <v>9789949673186</v>
      </c>
    </row>
    <row r="1138" spans="1:13" ht="15">
      <c r="A1138" t="s">
        <v>379</v>
      </c>
      <c r="B1138" t="str">
        <f>"16972"</f>
        <v>16972</v>
      </c>
      <c r="C1138" t="str">
        <f>"2014"</f>
        <v>2014</v>
      </c>
      <c r="D1138" t="str">
        <f>"Popin ja Pikkukarhun avaruusmatka"</f>
        <v>Popin ja Pikkukarhun avaruusmatka</v>
      </c>
      <c r="E1138" t="str">
        <f t="shared" si="91"/>
        <v>viro</v>
      </c>
      <c r="F1138" t="str">
        <f>"pildiraamatud"</f>
        <v>pildiraamatud</v>
      </c>
      <c r="G1138" t="str">
        <f>" lapsed ja noored"</f>
        <v xml:space="preserve"> lapsed ja noored</v>
      </c>
      <c r="H1138" t="str">
        <f t="shared" si="92"/>
        <v>2019</v>
      </c>
      <c r="I1138" t="str">
        <f>"Popi ja Pisikaru kosmosereis"</f>
        <v>Popi ja Pisikaru kosmosereis</v>
      </c>
      <c r="J1138" t="str">
        <f>"Juursoo, Lauri"</f>
        <v>Juursoo, Lauri</v>
      </c>
      <c r="K1138" t="str">
        <f>"Elust Enesest, Tallinn"</f>
        <v>Elust Enesest, Tallinn</v>
      </c>
      <c r="L1138" t="str">
        <f>""</f>
        <v/>
      </c>
      <c r="M1138" t="str">
        <f>"9789949720057"</f>
        <v>9789949720057</v>
      </c>
    </row>
    <row r="1139" spans="1:13" ht="15">
      <c r="A1139" t="s">
        <v>402</v>
      </c>
      <c r="B1139" t="str">
        <f>"18970"</f>
        <v>18970</v>
      </c>
      <c r="C1139" t="str">
        <f>"2019"</f>
        <v>2019</v>
      </c>
      <c r="D1139" t="str">
        <f>"Puno ja askartele pajusta ja pihlajasta"</f>
        <v>Puno ja askartele pajusta ja pihlajasta</v>
      </c>
      <c r="E1139" t="str">
        <f t="shared" si="91"/>
        <v>viro</v>
      </c>
      <c r="F1139" t="str">
        <f>""</f>
        <v/>
      </c>
      <c r="G1139" t="str">
        <f>"  täiskasvanud"</f>
        <v xml:space="preserve">  täiskasvanud</v>
      </c>
      <c r="H1139" t="str">
        <f t="shared" si="92"/>
        <v>2019</v>
      </c>
      <c r="I1139" t="str">
        <f>"Punu ja meisterda pajust ja pihlakast "</f>
        <v xml:space="preserve">Punu ja meisterda pajust ja pihlakast </v>
      </c>
      <c r="J1139" t="str">
        <f>"Tallo, Toomas"</f>
        <v>Tallo, Toomas</v>
      </c>
      <c r="K1139" t="str">
        <f>"Hea Lugu, Tallinn"</f>
        <v>Hea Lugu, Tallinn</v>
      </c>
      <c r="L1139" t="str">
        <f>""</f>
        <v/>
      </c>
      <c r="M1139" t="str">
        <f>"9789949673629"</f>
        <v>9789949673629</v>
      </c>
    </row>
    <row r="1140" spans="1:13" ht="15">
      <c r="A1140" t="s">
        <v>413</v>
      </c>
      <c r="B1140" t="str">
        <f>"15933"</f>
        <v>15933</v>
      </c>
      <c r="C1140" t="str">
        <f>"2017"</f>
        <v>2017</v>
      </c>
      <c r="D1140" t="str">
        <f>"Tiedeleikkejä pikkututkijoille"</f>
        <v>Tiedeleikkejä pikkututkijoille</v>
      </c>
      <c r="E1140" t="str">
        <f t="shared" si="91"/>
        <v>viro</v>
      </c>
      <c r="F1140" t="str">
        <f>""</f>
        <v/>
      </c>
      <c r="G1140" t="str">
        <f>"  täiskasvanud"</f>
        <v xml:space="preserve">  täiskasvanud</v>
      </c>
      <c r="H1140" t="str">
        <f t="shared" si="92"/>
        <v>2019</v>
      </c>
      <c r="I1140" t="str">
        <f>"Teadusmänge lastel"</f>
        <v>Teadusmänge lastel</v>
      </c>
      <c r="J1140" t="str">
        <f>"Tooman, Jane"</f>
        <v>Tooman, Jane</v>
      </c>
      <c r="K1140" t="str">
        <f>"Koolibri, Tallinn"</f>
        <v>Koolibri, Tallinn</v>
      </c>
      <c r="L1140" t="str">
        <f>""</f>
        <v/>
      </c>
      <c r="M1140" t="str">
        <f>"978-9985-0-4114-7"</f>
        <v>978-9985-0-4114-7</v>
      </c>
    </row>
    <row r="1141" spans="1:13" ht="15">
      <c r="A1141" t="s">
        <v>419</v>
      </c>
      <c r="B1141" t="str">
        <f>"16428"</f>
        <v>16428</v>
      </c>
      <c r="C1141" t="str">
        <f>"2016"</f>
        <v>2016</v>
      </c>
      <c r="D1141" t="str">
        <f>"Stalin ja Suomen kohtalo : 1939, 1944, 1948, 1950"</f>
        <v>Stalin ja Suomen kohtalo : 1939, 1944, 1948, 1950</v>
      </c>
      <c r="E1141" t="str">
        <f t="shared" si="91"/>
        <v>viro</v>
      </c>
      <c r="F1141" t="str">
        <f>""</f>
        <v/>
      </c>
      <c r="G1141" t="str">
        <f>"  täiskasvanud"</f>
        <v xml:space="preserve">  täiskasvanud</v>
      </c>
      <c r="H1141" t="str">
        <f t="shared" si="92"/>
        <v>2019</v>
      </c>
      <c r="I1141" t="str">
        <f>"Stalin ja Soome saatus : 1939, 1944, 1948, 1950"</f>
        <v>Stalin ja Soome saatus : 1939, 1944, 1948, 1950</v>
      </c>
      <c r="J1141" t="str">
        <f>"Jaanits, Kadri"</f>
        <v>Jaanits, Kadri</v>
      </c>
      <c r="K1141" t="str">
        <f>"Äripäev, Tallinn"</f>
        <v>Äripäev, Tallinn</v>
      </c>
      <c r="L1141" t="str">
        <f>""</f>
        <v/>
      </c>
      <c r="M1141" t="str">
        <f>"9789949624553"</f>
        <v>9789949624553</v>
      </c>
    </row>
    <row r="1142" spans="1:13" ht="15">
      <c r="A1142" t="s">
        <v>438</v>
      </c>
      <c r="B1142" t="str">
        <f>"16961"</f>
        <v>16961</v>
      </c>
      <c r="C1142" t="str">
        <f>"2019"</f>
        <v>2019</v>
      </c>
      <c r="D1142" t="str">
        <f>"Karhu ja kettu : matkalla pohjoiseen"</f>
        <v>Karhu ja kettu : matkalla pohjoiseen</v>
      </c>
      <c r="E1142" t="str">
        <f t="shared" si="91"/>
        <v>viro</v>
      </c>
      <c r="F1142" t="str">
        <f>"pildiraamatud"</f>
        <v>pildiraamatud</v>
      </c>
      <c r="G1142" t="str">
        <f>" lapsed ja noored"</f>
        <v xml:space="preserve"> lapsed ja noored</v>
      </c>
      <c r="H1142" t="str">
        <f t="shared" si="92"/>
        <v>2019</v>
      </c>
      <c r="I1142" t="str">
        <f>"Karu ja Rebane teel põhjamaale"</f>
        <v>Karu ja Rebane teel põhjamaale</v>
      </c>
      <c r="J1142" t="str">
        <f>"Juursoo, Lauri"</f>
        <v>Juursoo, Lauri</v>
      </c>
      <c r="K1142" t="str">
        <f>"Kirjastus Elust Enesest, Tallinn"</f>
        <v>Kirjastus Elust Enesest, Tallinn</v>
      </c>
      <c r="L1142" t="str">
        <f>""</f>
        <v/>
      </c>
      <c r="M1142" t="str">
        <f>"9789949720064"</f>
        <v>9789949720064</v>
      </c>
    </row>
    <row r="1143" spans="1:13" ht="15">
      <c r="A1143" t="s">
        <v>446</v>
      </c>
      <c r="B1143" t="str">
        <f>"16460"</f>
        <v>16460</v>
      </c>
      <c r="C1143" t="str">
        <f>"2017"</f>
        <v>2017</v>
      </c>
      <c r="D1143" t="str">
        <f>"Nuoren Viron omatunto : kansalliskirjailija A. H. Tammsaare"</f>
        <v>Nuoren Viron omatunto : kansalliskirjailija A. H. Tammsaare</v>
      </c>
      <c r="E1143" t="str">
        <f t="shared" si="91"/>
        <v>viro</v>
      </c>
      <c r="F1143" t="str">
        <f>""</f>
        <v/>
      </c>
      <c r="G1143" t="str">
        <f>"  täiskasvanud"</f>
        <v xml:space="preserve">  täiskasvanud</v>
      </c>
      <c r="H1143" t="str">
        <f t="shared" si="92"/>
        <v>2019</v>
      </c>
      <c r="I1143" t="str">
        <f>"Noore Eesti südametunnistus : Rahvakirjanik A.H. Tammsaare"</f>
        <v>Noore Eesti südametunnistus : Rahvakirjanik A.H. Tammsaare</v>
      </c>
      <c r="J1143" t="str">
        <f>"Saluri, Piret"</f>
        <v>Saluri, Piret</v>
      </c>
      <c r="K1143" t="str">
        <f>"EKSA, Tallinn"</f>
        <v>EKSA, Tallinn</v>
      </c>
      <c r="L1143" t="str">
        <f>""</f>
        <v/>
      </c>
      <c r="M1143" t="str">
        <f>"9789949604715"</f>
        <v>9789949604715</v>
      </c>
    </row>
    <row r="1144" spans="1:13" ht="15">
      <c r="A1144" t="s">
        <v>456</v>
      </c>
      <c r="B1144" t="str">
        <f>"16463"</f>
        <v>16463</v>
      </c>
      <c r="C1144" t="str">
        <f>"2017"</f>
        <v>2017</v>
      </c>
      <c r="D1144" t="str">
        <f>"Mefiston kosketus"</f>
        <v>Mefiston kosketus</v>
      </c>
      <c r="E1144" t="str">
        <f t="shared" si="91"/>
        <v>viro</v>
      </c>
      <c r="F1144" t="str">
        <f>"romaanid; põnevus- ja krimikirjandus; proosa"</f>
        <v>romaanid; põnevus- ja krimikirjandus; proosa</v>
      </c>
      <c r="G1144" t="str">
        <f>"  täiskasvanud"</f>
        <v xml:space="preserve">  täiskasvanud</v>
      </c>
      <c r="H1144" t="str">
        <f t="shared" si="92"/>
        <v>2019</v>
      </c>
      <c r="I1144" t="str">
        <f>"Mefisto puudutus"</f>
        <v>Mefisto puudutus</v>
      </c>
      <c r="J1144" t="str">
        <f>"Aimla-Laid, Triin"</f>
        <v>Aimla-Laid, Triin</v>
      </c>
      <c r="K1144" t="str">
        <f>"Pegasus, Tallinn"</f>
        <v>Pegasus, Tallinn</v>
      </c>
      <c r="L1144" t="str">
        <f>""</f>
        <v/>
      </c>
      <c r="M1144" t="str">
        <f>"9789949681365"</f>
        <v>9789949681365</v>
      </c>
    </row>
    <row r="1145" spans="1:13" ht="15">
      <c r="A1145" t="s">
        <v>460</v>
      </c>
      <c r="B1145" t="str">
        <f>"16865"</f>
        <v>16865</v>
      </c>
      <c r="C1145" t="str">
        <f>"2018"</f>
        <v>2018</v>
      </c>
      <c r="D1145" t="str">
        <f>"Ikuiset ystävät : Suomen ja Neuvostoliiton kulttuurisuhteet sotien jälkeen"</f>
        <v>Ikuiset ystävät : Suomen ja Neuvostoliiton kulttuurisuhteet sotien jälkeen</v>
      </c>
      <c r="E1145" t="str">
        <f t="shared" si="91"/>
        <v>viro</v>
      </c>
      <c r="F1145" t="str">
        <f>""</f>
        <v/>
      </c>
      <c r="G1145" t="str">
        <f>"  täiskasvanud"</f>
        <v xml:space="preserve">  täiskasvanud</v>
      </c>
      <c r="H1145" t="str">
        <f t="shared" si="92"/>
        <v>2019</v>
      </c>
      <c r="I1145" t="str">
        <f>"Vankumatu sõprus"</f>
        <v>Vankumatu sõprus</v>
      </c>
      <c r="J1145" t="str">
        <f>"Kaaber, Ene"</f>
        <v>Kaaber, Ene</v>
      </c>
      <c r="K1145" t="str">
        <f>"Kirjastus K&amp;K, Tallinn"</f>
        <v>Kirjastus K&amp;K, Tallinn</v>
      </c>
      <c r="L1145" t="str">
        <f>""</f>
        <v/>
      </c>
      <c r="M1145" t="str">
        <f>"978-9949-9543-7-7"</f>
        <v>978-9949-9543-7-7</v>
      </c>
    </row>
    <row r="1146" spans="1:13" ht="15">
      <c r="A1146" t="s">
        <v>496</v>
      </c>
      <c r="B1146" t="str">
        <f>"16183"</f>
        <v>16183</v>
      </c>
      <c r="C1146" t="str">
        <f>"2018"</f>
        <v>2018</v>
      </c>
      <c r="D1146" t="str">
        <f>"Himmler ja hänen suomalainen buddhansa"</f>
        <v>Himmler ja hänen suomalainen buddhansa</v>
      </c>
      <c r="E1146" t="str">
        <f t="shared" si="91"/>
        <v>viro</v>
      </c>
      <c r="F1146" t="str">
        <f>""</f>
        <v/>
      </c>
      <c r="G1146" t="str">
        <f>"  täiskasvanud"</f>
        <v xml:space="preserve">  täiskasvanud</v>
      </c>
      <c r="H1146" t="str">
        <f t="shared" si="92"/>
        <v>2019</v>
      </c>
      <c r="I1146" t="str">
        <f>"Timukas ja tema maagiline ihuarst"</f>
        <v>Timukas ja tema maagiline ihuarst</v>
      </c>
      <c r="J1146" t="str">
        <f>"Kurmiste, Katrin"</f>
        <v>Kurmiste, Katrin</v>
      </c>
      <c r="K1146" t="str">
        <f>"Varrak, Tallinn"</f>
        <v>Varrak, Tallinn</v>
      </c>
      <c r="L1146" t="str">
        <f>""</f>
        <v/>
      </c>
      <c r="M1146" t="str">
        <f>"978-9985-3-4711-9"</f>
        <v>978-9985-3-4711-9</v>
      </c>
    </row>
    <row r="1147" spans="1:13" ht="15">
      <c r="A1147" t="s">
        <v>503</v>
      </c>
      <c r="B1147" t="str">
        <f>"16459"</f>
        <v>16459</v>
      </c>
      <c r="C1147" t="str">
        <f>"2011"</f>
        <v>2011</v>
      </c>
      <c r="D1147" t="str">
        <f>"Toivo"</f>
        <v>Toivo</v>
      </c>
      <c r="E1147" t="str">
        <f t="shared" si="91"/>
        <v>viro</v>
      </c>
      <c r="F1147" t="str">
        <f>"luule, lüürika"</f>
        <v>luule, lüürika</v>
      </c>
      <c r="G1147" t="str">
        <f>"  täiskasvanud"</f>
        <v xml:space="preserve">  täiskasvanud</v>
      </c>
      <c r="H1147" t="str">
        <f t="shared" si="92"/>
        <v>2019</v>
      </c>
      <c r="I1147" t="str">
        <f>"Lootus"</f>
        <v>Lootus</v>
      </c>
      <c r="J1147" t="str">
        <f>"Kaldmaa, Kätlin"</f>
        <v>Kaldmaa, Kätlin</v>
      </c>
      <c r="K1147" t="str">
        <f>"Lumemana, Tallinn"</f>
        <v>Lumemana, Tallinn</v>
      </c>
      <c r="L1147" t="str">
        <f>""</f>
        <v/>
      </c>
      <c r="M1147" t="str">
        <f>"9789949010462"</f>
        <v>9789949010462</v>
      </c>
    </row>
    <row r="1148" spans="1:13" ht="15">
      <c r="A1148" t="s">
        <v>517</v>
      </c>
      <c r="B1148" t="str">
        <f>"16765"</f>
        <v>16765</v>
      </c>
      <c r="C1148" t="str">
        <f>"2017"</f>
        <v>2017</v>
      </c>
      <c r="D1148" t="str">
        <f>"Tatun ja Patun ällistyttävä satukirja : kaikkien aikojen ensimmäinen satukirja, jossa on käyttöohjeet!"</f>
        <v>Tatun ja Patun ällistyttävä satukirja : kaikkien aikojen ensimmäinen satukirja, jossa on käyttöohjeet!</v>
      </c>
      <c r="E1148" t="str">
        <f t="shared" si="91"/>
        <v>viro</v>
      </c>
      <c r="F1148" t="str">
        <f>"pildiraamatud"</f>
        <v>pildiraamatud</v>
      </c>
      <c r="G1148" t="str">
        <f>" lapsed ja noored"</f>
        <v xml:space="preserve"> lapsed ja noored</v>
      </c>
      <c r="H1148" t="str">
        <f t="shared" si="92"/>
        <v>2019</v>
      </c>
      <c r="I1148" t="str">
        <f>"Teedu ja Peedu hämmastav muinasjuturaamat"</f>
        <v>Teedu ja Peedu hämmastav muinasjuturaamat</v>
      </c>
      <c r="J1148" t="str">
        <f>"Lagerspetz, Hille"</f>
        <v>Lagerspetz, Hille</v>
      </c>
      <c r="K1148" t="str">
        <f>"Hea Lugu, Tallinn"</f>
        <v>Hea Lugu, Tallinn</v>
      </c>
      <c r="L1148" t="str">
        <f>""</f>
        <v/>
      </c>
      <c r="M1148" t="str">
        <f>" 9789949673841"</f>
        <v xml:space="preserve"> 9789949673841</v>
      </c>
    </row>
    <row r="1149" spans="1:13" ht="15">
      <c r="A1149" t="s">
        <v>117</v>
      </c>
      <c r="B1149" t="str">
        <f>"4502"</f>
        <v>4502</v>
      </c>
      <c r="C1149" t="str">
        <f>"1972"</f>
        <v>1972</v>
      </c>
      <c r="D1149" t="str">
        <f>"Sommarboken"</f>
        <v>Sommarboken</v>
      </c>
      <c r="E1149" t="str">
        <f t="shared" si="91"/>
        <v>viro</v>
      </c>
      <c r="F1149" t="str">
        <f>"romaanid; proosa"</f>
        <v>romaanid; proosa</v>
      </c>
      <c r="G1149" t="str">
        <f>"  täiskasvanud"</f>
        <v xml:space="preserve">  täiskasvanud</v>
      </c>
      <c r="H1149" t="str">
        <f aca="true" t="shared" si="93" ref="H1149">"1995"</f>
        <v>1995</v>
      </c>
      <c r="I1149" t="str">
        <f>"Suveraamat"</f>
        <v>Suveraamat</v>
      </c>
      <c r="J1149" s="1" t="s">
        <v>573</v>
      </c>
      <c r="M1149">
        <v>9789949673377</v>
      </c>
    </row>
    <row r="1150" spans="1:13" ht="15">
      <c r="A1150" t="s">
        <v>547</v>
      </c>
      <c r="B1150" t="str">
        <f>"18970"</f>
        <v>18970</v>
      </c>
      <c r="C1150" t="str">
        <f>"2019"</f>
        <v>2019</v>
      </c>
      <c r="D1150" t="str">
        <f>"Puno ja askartele pajusta ja pihlajasta"</f>
        <v>Puno ja askartele pajusta ja pihlajasta</v>
      </c>
      <c r="E1150" t="str">
        <f t="shared" si="91"/>
        <v>viro</v>
      </c>
      <c r="F1150" t="str">
        <f>""</f>
        <v/>
      </c>
      <c r="G1150" t="str">
        <f>"  täiskasvanud"</f>
        <v xml:space="preserve">  täiskasvanud</v>
      </c>
      <c r="H1150" t="str">
        <f t="shared" si="92"/>
        <v>2019</v>
      </c>
      <c r="I1150" t="str">
        <f>"Punu ja meisterda pajust ja pihlakast "</f>
        <v xml:space="preserve">Punu ja meisterda pajust ja pihlakast </v>
      </c>
      <c r="J1150" t="str">
        <f>"Tallo, Toomas"</f>
        <v>Tallo, Toomas</v>
      </c>
      <c r="K1150" t="str">
        <f>"Hea Lugu, Tallinn"</f>
        <v>Hea Lugu, Tallinn</v>
      </c>
      <c r="L1150" t="str">
        <f>""</f>
        <v/>
      </c>
      <c r="M1150" t="str">
        <f>"9789949673629"</f>
        <v>9789949673629</v>
      </c>
    </row>
    <row r="1151" spans="1:13" ht="15">
      <c r="A1151" t="s">
        <v>22</v>
      </c>
      <c r="B1151" t="str">
        <f>"17417"</f>
        <v>17417</v>
      </c>
      <c r="C1151" t="str">
        <f>"2019"</f>
        <v>2019</v>
      </c>
      <c r="D1151" t="str">
        <f>"Putinin trollit : tositarinoita Venäjän infosodan rintamilta"</f>
        <v>Putinin trollit : tositarinoita Venäjän infosodan rintamilta</v>
      </c>
      <c r="E1151" t="str">
        <f t="shared" si="91"/>
        <v>viro</v>
      </c>
      <c r="F1151" t="str">
        <f>""</f>
        <v/>
      </c>
      <c r="G1151" t="str">
        <f>"  täiskasvanud"</f>
        <v xml:space="preserve">  täiskasvanud</v>
      </c>
      <c r="H1151" t="str">
        <f aca="true" t="shared" si="94" ref="H1151:H1192">"2020"</f>
        <v>2020</v>
      </c>
      <c r="I1151" t="str">
        <f>"Putini trollid"</f>
        <v>Putini trollid</v>
      </c>
      <c r="J1151" t="str">
        <f>""</f>
        <v/>
      </c>
      <c r="K1151" t="str">
        <f>"Rahva Raamat, Tallinn"</f>
        <v>Rahva Raamat, Tallinn</v>
      </c>
      <c r="L1151" t="str">
        <f>""</f>
        <v/>
      </c>
      <c r="M1151" t="str">
        <f>"9789949693689"</f>
        <v>9789949693689</v>
      </c>
    </row>
    <row r="1152" spans="1:13" ht="15">
      <c r="A1152" t="s">
        <v>37</v>
      </c>
      <c r="B1152" t="str">
        <f>"19630"</f>
        <v>19630</v>
      </c>
      <c r="C1152" t="str">
        <f>"2019"</f>
        <v>2019</v>
      </c>
      <c r="D1152" t="str">
        <f>"Pipunan ikioma napa"</f>
        <v>Pipunan ikioma napa</v>
      </c>
      <c r="E1152" t="str">
        <f t="shared" si="91"/>
        <v>viro</v>
      </c>
      <c r="F1152" t="str">
        <f>"pildiraamatud"</f>
        <v>pildiraamatud</v>
      </c>
      <c r="G1152" t="str">
        <f>" lapsed ja noored"</f>
        <v xml:space="preserve"> lapsed ja noored</v>
      </c>
      <c r="H1152" t="str">
        <f t="shared" si="94"/>
        <v>2020</v>
      </c>
      <c r="I1152" t="str">
        <f>"Annabeli oma enda naba"</f>
        <v>Annabeli oma enda naba</v>
      </c>
      <c r="J1152" t="str">
        <f>"Holm, Rita, Ingman-Friberg, Susanne "</f>
        <v xml:space="preserve">Holm, Rita, Ingman-Friberg, Susanne </v>
      </c>
      <c r="K1152" t="str">
        <f>"Menu, Tallinn"</f>
        <v>Menu, Tallinn</v>
      </c>
      <c r="L1152" t="str">
        <f>""</f>
        <v/>
      </c>
      <c r="M1152" t="str">
        <f>"9789949686353 "</f>
        <v xml:space="preserve">9789949686353 </v>
      </c>
    </row>
    <row r="1153" spans="1:13" ht="15">
      <c r="A1153" t="s">
        <v>46</v>
      </c>
      <c r="B1153" t="str">
        <f>"17016"</f>
        <v>17016</v>
      </c>
      <c r="C1153" t="str">
        <f>"2019"</f>
        <v>2019</v>
      </c>
      <c r="D1153" t="str">
        <f>"Ihme ilmat! : miksi ilmasto muuttuu?"</f>
        <v>Ihme ilmat! : miksi ilmasto muuttuu?</v>
      </c>
      <c r="E1153" t="str">
        <f t="shared" si="91"/>
        <v>viro</v>
      </c>
      <c r="F1153" t="str">
        <f>""</f>
        <v/>
      </c>
      <c r="G1153" t="str">
        <f>" lapsed ja noored"</f>
        <v xml:space="preserve"> lapsed ja noored</v>
      </c>
      <c r="H1153" t="str">
        <f t="shared" si="94"/>
        <v>2020</v>
      </c>
      <c r="I1153" t="str">
        <f>"Imelik ilm!"</f>
        <v>Imelik ilm!</v>
      </c>
      <c r="J1153" t="str">
        <f>"Vesi, Annika"</f>
        <v>Vesi, Annika</v>
      </c>
      <c r="K1153" t="str">
        <f>"Avita, Tallinn"</f>
        <v>Avita, Tallinn</v>
      </c>
      <c r="L1153" t="str">
        <f>""</f>
        <v/>
      </c>
      <c r="M1153" t="str">
        <f>"9789985223024"</f>
        <v>9789985223024</v>
      </c>
    </row>
    <row r="1154" spans="1:13" ht="15">
      <c r="A1154" t="s">
        <v>46</v>
      </c>
      <c r="B1154" t="str">
        <f>"17503"</f>
        <v>17503</v>
      </c>
      <c r="C1154" t="str">
        <f>"2020"</f>
        <v>2020</v>
      </c>
      <c r="D1154" t="str">
        <f>"Missä sinä olet?"</f>
        <v>Missä sinä olet?</v>
      </c>
      <c r="E1154" t="str">
        <f t="shared" si="91"/>
        <v>viro</v>
      </c>
      <c r="F1154" t="str">
        <f>""</f>
        <v/>
      </c>
      <c r="G1154" t="str">
        <f>" lapsed ja noored"</f>
        <v xml:space="preserve"> lapsed ja noored</v>
      </c>
      <c r="H1154" t="str">
        <f t="shared" si="94"/>
        <v>2020</v>
      </c>
      <c r="I1154" t="str">
        <f>"Kus sa oled?"</f>
        <v>Kus sa oled?</v>
      </c>
      <c r="J1154" t="str">
        <f>"Veskimäe, Anneli"</f>
        <v>Veskimäe, Anneli</v>
      </c>
      <c r="K1154" t="str">
        <f>"Avita, Tallinn"</f>
        <v>Avita, Tallinn</v>
      </c>
      <c r="L1154" t="str">
        <f>""</f>
        <v/>
      </c>
      <c r="M1154" t="str">
        <f>"9789985223086"</f>
        <v>9789985223086</v>
      </c>
    </row>
    <row r="1155" spans="1:13" ht="15">
      <c r="A1155" t="s">
        <v>51</v>
      </c>
      <c r="B1155" t="str">
        <f>"17682"</f>
        <v>17682</v>
      </c>
      <c r="C1155" t="str">
        <f>"2020"</f>
        <v>2020</v>
      </c>
      <c r="D1155" t="str">
        <f>"Roosa ja punainen mysteeri"</f>
        <v>Roosa ja punainen mysteeri</v>
      </c>
      <c r="E1155" t="str">
        <f t="shared" si="91"/>
        <v>viro</v>
      </c>
      <c r="F1155" t="str">
        <f>"proosa"</f>
        <v>proosa</v>
      </c>
      <c r="G1155" t="str">
        <f>" lapsed ja noored"</f>
        <v xml:space="preserve"> lapsed ja noored</v>
      </c>
      <c r="H1155" t="str">
        <f t="shared" si="94"/>
        <v>2020</v>
      </c>
      <c r="I1155" t="str">
        <f>"Hele ja punane müsteerium"</f>
        <v>Hele ja punane müsteerium</v>
      </c>
      <c r="J1155" t="str">
        <f>"Juursoo, Lauri"</f>
        <v>Juursoo, Lauri</v>
      </c>
      <c r="K1155" t="str">
        <f>"Elust Enesest, Tallinn"</f>
        <v>Elust Enesest, Tallinn</v>
      </c>
      <c r="L1155" t="str">
        <f>""</f>
        <v/>
      </c>
      <c r="M1155" t="str">
        <f>"9789949744107"</f>
        <v>9789949744107</v>
      </c>
    </row>
    <row r="1156" spans="1:13" ht="15">
      <c r="A1156" t="s">
        <v>53</v>
      </c>
      <c r="B1156" t="str">
        <f>"17032"</f>
        <v>17032</v>
      </c>
      <c r="C1156" t="str">
        <f>"2019"</f>
        <v>2019</v>
      </c>
      <c r="D1156" t="str">
        <f>"Adèlen kysymys : pienoisromaani"</f>
        <v>Adèlen kysymys : pienoisromaani</v>
      </c>
      <c r="E1156" t="str">
        <f t="shared" si="91"/>
        <v>viro</v>
      </c>
      <c r="F1156" t="str">
        <f>"romaanid; proosa"</f>
        <v>romaanid; proosa</v>
      </c>
      <c r="G1156" t="str">
        <f>"  täiskasvanud"</f>
        <v xml:space="preserve">  täiskasvanud</v>
      </c>
      <c r="H1156" t="str">
        <f t="shared" si="94"/>
        <v>2020</v>
      </c>
      <c r="I1156" t="str">
        <f>"Adèle’i küsimus"</f>
        <v>Adèle’i küsimus</v>
      </c>
      <c r="J1156" t="str">
        <f>"Aareleid, Kai"</f>
        <v>Aareleid, Kai</v>
      </c>
      <c r="K1156" t="str">
        <f>"Hea Lugu, Tallinn"</f>
        <v>Hea Lugu, Tallinn</v>
      </c>
      <c r="L1156" t="str">
        <f>""</f>
        <v/>
      </c>
      <c r="M1156" t="str">
        <f>"978-9949-673-93-3"</f>
        <v>978-9949-673-93-3</v>
      </c>
    </row>
    <row r="1157" spans="1:13" ht="15">
      <c r="A1157" t="s">
        <v>60</v>
      </c>
      <c r="B1157" t="str">
        <f>"17073"</f>
        <v>17073</v>
      </c>
      <c r="C1157" t="str">
        <f>"2019"</f>
        <v>2019</v>
      </c>
      <c r="D1157" t="str">
        <f>"Painajaispuoti : hampaat hukassa"</f>
        <v>Painajaispuoti : hampaat hukassa</v>
      </c>
      <c r="E1157" t="str">
        <f t="shared" si="91"/>
        <v>viro</v>
      </c>
      <c r="F1157" t="str">
        <f>"proosa"</f>
        <v>proosa</v>
      </c>
      <c r="G1157" t="str">
        <f>" lapsed ja noored"</f>
        <v xml:space="preserve"> lapsed ja noored</v>
      </c>
      <c r="H1157" t="str">
        <f t="shared" si="94"/>
        <v>2020</v>
      </c>
      <c r="I1157" t="str">
        <f>"Painajapood ja kadunud hambad"</f>
        <v>Painajapood ja kadunud hambad</v>
      </c>
      <c r="J1157" t="str">
        <f>"Kass, Kristiina"</f>
        <v>Kass, Kristiina</v>
      </c>
      <c r="K1157" t="str">
        <f>"Postimees, Tallinn"</f>
        <v>Postimees, Tallinn</v>
      </c>
      <c r="L1157" t="str">
        <f>""</f>
        <v/>
      </c>
      <c r="M1157" t="str">
        <f>"9789916603413"</f>
        <v>9789916603413</v>
      </c>
    </row>
    <row r="1158" spans="1:13" ht="15">
      <c r="A1158" t="s">
        <v>60</v>
      </c>
      <c r="B1158" t="str">
        <f>"17074"</f>
        <v>17074</v>
      </c>
      <c r="C1158" t="str">
        <f>"2018"</f>
        <v>2018</v>
      </c>
      <c r="D1158" t="str">
        <f>"Painajaispuoti ja kamala kutituspulveri"</f>
        <v>Painajaispuoti ja kamala kutituspulveri</v>
      </c>
      <c r="E1158" t="str">
        <f t="shared" si="91"/>
        <v>viro</v>
      </c>
      <c r="F1158" t="str">
        <f>"proosa"</f>
        <v>proosa</v>
      </c>
      <c r="G1158" t="str">
        <f>" lapsed ja noored"</f>
        <v xml:space="preserve"> lapsed ja noored</v>
      </c>
      <c r="H1158" t="str">
        <f t="shared" si="94"/>
        <v>2020</v>
      </c>
      <c r="I1158" t="str">
        <f>"Painajapood ja kohutav kõdipulber"</f>
        <v>Painajapood ja kohutav kõdipulber</v>
      </c>
      <c r="J1158" t="str">
        <f>"Kass, Kristiina"</f>
        <v>Kass, Kristiina</v>
      </c>
      <c r="K1158" t="str">
        <f>"Postimees, Tallinn"</f>
        <v>Postimees, Tallinn</v>
      </c>
      <c r="L1158" t="str">
        <f>""</f>
        <v/>
      </c>
      <c r="M1158" t="str">
        <f>"9789916603154"</f>
        <v>9789916603154</v>
      </c>
    </row>
    <row r="1159" spans="1:13" ht="15">
      <c r="A1159" t="s">
        <v>68</v>
      </c>
      <c r="B1159" t="str">
        <f>"17284"</f>
        <v>17284</v>
      </c>
      <c r="C1159" t="str">
        <f>"2019"</f>
        <v>2019</v>
      </c>
      <c r="D1159" t="str">
        <f>"Tatu ja Patu, kauhea Hirviö-Hirviö ja muita outoja juttuja"</f>
        <v>Tatu ja Patu, kauhea Hirviö-Hirviö ja muita outoja juttuja</v>
      </c>
      <c r="E1159" t="str">
        <f t="shared" si="91"/>
        <v>viro</v>
      </c>
      <c r="F1159" t="str">
        <f>"pildiraamatud"</f>
        <v>pildiraamatud</v>
      </c>
      <c r="G1159" t="str">
        <f>" lapsed ja noored"</f>
        <v xml:space="preserve"> lapsed ja noored</v>
      </c>
      <c r="H1159" t="str">
        <f t="shared" si="94"/>
        <v>2020</v>
      </c>
      <c r="I1159" t="str">
        <f>"Teedu ja Peedu, õudne Koletis-Koletis ja teised kentsakad lood"</f>
        <v>Teedu ja Peedu, õudne Koletis-Koletis ja teised kentsakad lood</v>
      </c>
      <c r="J1159" t="str">
        <f>"Tael, Triin"</f>
        <v>Tael, Triin</v>
      </c>
      <c r="K1159" t="str">
        <f>"Hea Lugu, Tallinn"</f>
        <v>Hea Lugu, Tallinn</v>
      </c>
      <c r="L1159" t="str">
        <f>""</f>
        <v/>
      </c>
      <c r="M1159" t="str">
        <f>"9789916601402"</f>
        <v>9789916601402</v>
      </c>
    </row>
    <row r="1160" spans="1:13" ht="15">
      <c r="A1160" t="s">
        <v>117</v>
      </c>
      <c r="B1160" t="str">
        <f>"17905"</f>
        <v>17905</v>
      </c>
      <c r="C1160" t="str">
        <f>"1989"</f>
        <v>1989</v>
      </c>
      <c r="D1160" t="str">
        <f>"Rent spel"</f>
        <v>Rent spel</v>
      </c>
      <c r="E1160" t="str">
        <f t="shared" si="91"/>
        <v>viro</v>
      </c>
      <c r="F1160" t="str">
        <f>"romaanid; proosa"</f>
        <v>romaanid; proosa</v>
      </c>
      <c r="G1160" t="str">
        <f>"  täiskasvanud"</f>
        <v xml:space="preserve">  täiskasvanud</v>
      </c>
      <c r="H1160" t="str">
        <f t="shared" si="94"/>
        <v>2020</v>
      </c>
      <c r="I1160" t="str">
        <f>"Puhas mäng"</f>
        <v>Puhas mäng</v>
      </c>
      <c r="J1160" t="str">
        <f>"Aaloe, Maarja"</f>
        <v>Aaloe, Maarja</v>
      </c>
      <c r="K1160" t="str">
        <f>"Hea Lugu, Tallinn"</f>
        <v>Hea Lugu, Tallinn</v>
      </c>
      <c r="L1160" t="str">
        <f>""</f>
        <v/>
      </c>
      <c r="M1160" t="str">
        <f>"9789916601532"</f>
        <v>9789916601532</v>
      </c>
    </row>
    <row r="1161" spans="1:13" ht="15">
      <c r="A1161" t="s">
        <v>117</v>
      </c>
      <c r="B1161" t="str">
        <f>"17907"</f>
        <v>17907</v>
      </c>
      <c r="C1161" t="str">
        <f>"1987"</f>
        <v>1987</v>
      </c>
      <c r="D1161" t="str">
        <f>"Resa med lätt bagage : noveller"</f>
        <v>Resa med lätt bagage : noveller</v>
      </c>
      <c r="E1161" t="str">
        <f t="shared" si="91"/>
        <v>viro</v>
      </c>
      <c r="F1161" t="str">
        <f>"lühiproosa, proosa"</f>
        <v>lühiproosa, proosa</v>
      </c>
      <c r="G1161" t="str">
        <f>"  täiskasvanud"</f>
        <v xml:space="preserve">  täiskasvanud</v>
      </c>
      <c r="H1161" t="str">
        <f t="shared" si="94"/>
        <v>2020</v>
      </c>
      <c r="I1161" t="str">
        <f>"Reis kerge pagasiga"</f>
        <v>Reis kerge pagasiga</v>
      </c>
      <c r="J1161" t="str">
        <f>"Jesmin, Mari"</f>
        <v>Jesmin, Mari</v>
      </c>
      <c r="K1161" t="str">
        <f>"Hea Lugu, Tallinn"</f>
        <v>Hea Lugu, Tallinn</v>
      </c>
      <c r="L1161" t="str">
        <f>""</f>
        <v/>
      </c>
      <c r="M1161" t="str">
        <f>"9789916601815"</f>
        <v>9789916601815</v>
      </c>
    </row>
    <row r="1162" spans="1:13" ht="15">
      <c r="A1162" t="s">
        <v>117</v>
      </c>
      <c r="B1162" t="str">
        <f>"17906"</f>
        <v>17906</v>
      </c>
      <c r="C1162" t="str">
        <f>"1982"</f>
        <v>1982</v>
      </c>
      <c r="D1162" t="str">
        <f>"Den ärliga bedragaren"</f>
        <v>Den ärliga bedragaren</v>
      </c>
      <c r="E1162" t="str">
        <f t="shared" si="91"/>
        <v>viro</v>
      </c>
      <c r="F1162" t="str">
        <f>"romaanid; proosa"</f>
        <v>romaanid; proosa</v>
      </c>
      <c r="G1162" t="str">
        <f>"  täiskasvanud"</f>
        <v xml:space="preserve">  täiskasvanud</v>
      </c>
      <c r="H1162" t="str">
        <f t="shared" si="94"/>
        <v>2020</v>
      </c>
      <c r="I1162" t="str">
        <f>"Aus pettur"</f>
        <v>Aus pettur</v>
      </c>
      <c r="J1162" t="str">
        <f>"Jesmin, Mari"</f>
        <v>Jesmin, Mari</v>
      </c>
      <c r="K1162" t="str">
        <f>"Hea Lugu, Tallinn"</f>
        <v>Hea Lugu, Tallinn</v>
      </c>
      <c r="L1162" t="str">
        <f>""</f>
        <v/>
      </c>
      <c r="M1162" t="str">
        <f>"9789916601822"</f>
        <v>9789916601822</v>
      </c>
    </row>
    <row r="1163" spans="1:13" ht="15">
      <c r="A1163" t="s">
        <v>133</v>
      </c>
      <c r="B1163" t="str">
        <f>"16872"</f>
        <v>16872</v>
      </c>
      <c r="C1163" t="str">
        <f>"2018"</f>
        <v>2018</v>
      </c>
      <c r="D1163" t="str">
        <f>"Pikku hiiren puolukkamatka"</f>
        <v>Pikku hiiren puolukkamatka</v>
      </c>
      <c r="E1163" t="str">
        <f t="shared" si="91"/>
        <v>viro</v>
      </c>
      <c r="F1163" t="str">
        <f>"pildiraamatud"</f>
        <v>pildiraamatud</v>
      </c>
      <c r="G1163" t="str">
        <f>" lapsed ja noored"</f>
        <v xml:space="preserve"> lapsed ja noored</v>
      </c>
      <c r="H1163" t="str">
        <f t="shared" si="94"/>
        <v>2020</v>
      </c>
      <c r="I1163" t="str">
        <f>"Väike hiir sõidab maale"</f>
        <v>Väike hiir sõidab maale</v>
      </c>
      <c r="J1163" t="str">
        <f>"Oidekivi, Dea"</f>
        <v>Oidekivi, Dea</v>
      </c>
      <c r="K1163" t="str">
        <f>"Rahva Raamat, Tallinn"</f>
        <v>Rahva Raamat, Tallinn</v>
      </c>
      <c r="L1163" t="str">
        <f>""</f>
        <v/>
      </c>
      <c r="M1163" t="str">
        <f>"9789949693429"</f>
        <v>9789949693429</v>
      </c>
    </row>
    <row r="1164" spans="1:13" ht="15">
      <c r="A1164" t="s">
        <v>133</v>
      </c>
      <c r="B1164" t="str">
        <f>"16873"</f>
        <v>16873</v>
      </c>
      <c r="C1164" t="str">
        <f>"2019"</f>
        <v>2019</v>
      </c>
      <c r="D1164" t="str">
        <f>"Pikku hiiri ja paukkupakkanen"</f>
        <v>Pikku hiiri ja paukkupakkanen</v>
      </c>
      <c r="E1164" t="str">
        <f aca="true" t="shared" si="95" ref="E1164:E1227">"viro"</f>
        <v>viro</v>
      </c>
      <c r="F1164" t="str">
        <f>"pildiraamatud"</f>
        <v>pildiraamatud</v>
      </c>
      <c r="G1164" t="str">
        <f>" lapsed ja noored"</f>
        <v xml:space="preserve"> lapsed ja noored</v>
      </c>
      <c r="H1164" t="str">
        <f t="shared" si="94"/>
        <v>2020</v>
      </c>
      <c r="I1164" t="str">
        <f>"Väikese hiire talv"</f>
        <v>Väikese hiire talv</v>
      </c>
      <c r="J1164" t="str">
        <f>"Oidekivi, Dea"</f>
        <v>Oidekivi, Dea</v>
      </c>
      <c r="K1164" t="str">
        <f>"Rahva Raamat, Tallinn"</f>
        <v>Rahva Raamat, Tallinn</v>
      </c>
      <c r="L1164" t="str">
        <f>""</f>
        <v/>
      </c>
      <c r="M1164" t="str">
        <f>"9789916615072"</f>
        <v>9789916615072</v>
      </c>
    </row>
    <row r="1165" spans="1:13" ht="15">
      <c r="A1165" t="s">
        <v>147</v>
      </c>
      <c r="B1165" t="str">
        <f>"16902"</f>
        <v>16902</v>
      </c>
      <c r="C1165" t="str">
        <f>"1957"</f>
        <v>1957</v>
      </c>
      <c r="D1165" t="str">
        <f>"Vaeltava vieraskirja vuosilta 1946-1956"</f>
        <v>Vaeltava vieraskirja vuosilta 1946-1956</v>
      </c>
      <c r="E1165" t="str">
        <f t="shared" si="95"/>
        <v>viro</v>
      </c>
      <c r="F1165" t="str">
        <f>""</f>
        <v/>
      </c>
      <c r="G1165" t="str">
        <f>"  täiskasvanud"</f>
        <v xml:space="preserve">  täiskasvanud</v>
      </c>
      <c r="H1165" t="str">
        <f t="shared" si="94"/>
        <v>2020</v>
      </c>
      <c r="I1165" t="str">
        <f>"Rändav külalisraamat aastatest 1946-1956"</f>
        <v>Rändav külalisraamat aastatest 1946-1956</v>
      </c>
      <c r="J1165" t="str">
        <f>"Jõgi, Mall, Kaevats, Mall"</f>
        <v>Jõgi, Mall, Kaevats, Mall</v>
      </c>
      <c r="K1165" t="str">
        <f>"Eesti Raamat, Tallinn"</f>
        <v>Eesti Raamat, Tallinn</v>
      </c>
      <c r="L1165" t="str">
        <f>""</f>
        <v/>
      </c>
      <c r="M1165" t="str">
        <f>"9789949091171"</f>
        <v>9789949091171</v>
      </c>
    </row>
    <row r="1166" spans="1:13" ht="15">
      <c r="A1166" t="s">
        <v>153</v>
      </c>
      <c r="B1166" t="str">
        <f>"16758"</f>
        <v>16758</v>
      </c>
      <c r="C1166" t="str">
        <f>"2018"</f>
        <v>2018</v>
      </c>
      <c r="D1166" t="str">
        <f>"Naiset joita ajattelen öisin"</f>
        <v>Naiset joita ajattelen öisin</v>
      </c>
      <c r="E1166" t="str">
        <f t="shared" si="95"/>
        <v>viro</v>
      </c>
      <c r="F1166" t="str">
        <f>""</f>
        <v/>
      </c>
      <c r="G1166" t="str">
        <f>"  täiskasvanud"</f>
        <v xml:space="preserve">  täiskasvanud</v>
      </c>
      <c r="H1166" t="str">
        <f t="shared" si="94"/>
        <v>2020</v>
      </c>
      <c r="I1166" t="str">
        <f>"Naised, kellest ma öösiti mõtlen"</f>
        <v>Naised, kellest ma öösiti mõtlen</v>
      </c>
      <c r="J1166" t="str">
        <f>"Tael, Triin"</f>
        <v>Tael, Triin</v>
      </c>
      <c r="K1166" t="str">
        <f>"Varrak, Tallinn"</f>
        <v>Varrak, Tallinn</v>
      </c>
      <c r="L1166" t="str">
        <f>""</f>
        <v/>
      </c>
      <c r="M1166" t="str">
        <f>"9789985348369"</f>
        <v>9789985348369</v>
      </c>
    </row>
    <row r="1167" spans="1:13" ht="15">
      <c r="A1167" t="s">
        <v>184</v>
      </c>
      <c r="B1167" t="str">
        <f>"17519"</f>
        <v>17519</v>
      </c>
      <c r="C1167" t="str">
        <f>"2019"</f>
        <v>2019</v>
      </c>
      <c r="D1167" t="str">
        <f>"Molli ja maan ääri"</f>
        <v>Molli ja maan ääri</v>
      </c>
      <c r="E1167" t="str">
        <f t="shared" si="95"/>
        <v>viro</v>
      </c>
      <c r="F1167" t="str">
        <f>"pildiraamatud"</f>
        <v>pildiraamatud</v>
      </c>
      <c r="G1167" t="str">
        <f>" lapsed ja noored"</f>
        <v xml:space="preserve"> lapsed ja noored</v>
      </c>
      <c r="H1167" t="str">
        <f t="shared" si="94"/>
        <v>2020</v>
      </c>
      <c r="I1167" t="str">
        <f>"Molli ja maailma äär"</f>
        <v>Molli ja maailma äär</v>
      </c>
      <c r="J1167" t="str">
        <f>"Lagerspetz, Hille"</f>
        <v>Lagerspetz, Hille</v>
      </c>
      <c r="K1167" t="str">
        <f>"Helios, Tallinn"</f>
        <v>Helios, Tallinn</v>
      </c>
      <c r="L1167" t="str">
        <f>""</f>
        <v/>
      </c>
      <c r="M1167" t="str">
        <f>"9789949691630\t"</f>
        <v>9789949691630\t</v>
      </c>
    </row>
    <row r="1168" spans="1:13" ht="15">
      <c r="A1168" t="s">
        <v>189</v>
      </c>
      <c r="B1168" t="str">
        <f>"17540"</f>
        <v>17540</v>
      </c>
      <c r="C1168" t="str">
        <f>"2019"</f>
        <v>2019</v>
      </c>
      <c r="D1168" t="str">
        <f>"Fisens liv"</f>
        <v>Fisens liv</v>
      </c>
      <c r="E1168" t="str">
        <f t="shared" si="95"/>
        <v>viro</v>
      </c>
      <c r="F1168" t="str">
        <f>"pildiraamatud; luule, lüürika"</f>
        <v>pildiraamatud; luule, lüürika</v>
      </c>
      <c r="G1168" t="str">
        <f>" lapsed ja noored"</f>
        <v xml:space="preserve"> lapsed ja noored</v>
      </c>
      <c r="H1168" t="str">
        <f t="shared" si="94"/>
        <v>2020</v>
      </c>
      <c r="I1168" t="str">
        <f>"Peeru elu"</f>
        <v>Peeru elu</v>
      </c>
      <c r="J1168" t="str">
        <f>"Mõisnik, Mihkel"</f>
        <v>Mõisnik, Mihkel</v>
      </c>
      <c r="K1168" t="str">
        <f>"Tänapäev, Tallinn"</f>
        <v>Tänapäev, Tallinn</v>
      </c>
      <c r="L1168" t="str">
        <f>""</f>
        <v/>
      </c>
      <c r="M1168" t="str">
        <f>"9789949857876"</f>
        <v>9789949857876</v>
      </c>
    </row>
    <row r="1169" spans="1:13" ht="15">
      <c r="A1169" t="s">
        <v>217</v>
      </c>
      <c r="B1169" t="str">
        <f>"17900"</f>
        <v>17900</v>
      </c>
      <c r="C1169" t="str">
        <f>"2020"</f>
        <v>2020</v>
      </c>
      <c r="D1169" t="str">
        <f>"Joulupukin joululoma"</f>
        <v>Joulupukin joululoma</v>
      </c>
      <c r="E1169" t="str">
        <f t="shared" si="95"/>
        <v>viro</v>
      </c>
      <c r="F1169" t="str">
        <f>"pildiraamatud"</f>
        <v>pildiraamatud</v>
      </c>
      <c r="G1169" t="str">
        <f>" lapsed ja noored"</f>
        <v xml:space="preserve"> lapsed ja noored</v>
      </c>
      <c r="H1169" t="str">
        <f t="shared" si="94"/>
        <v>2020</v>
      </c>
      <c r="I1169" t="str">
        <f>"Jõuluvana jõulupuhkus "</f>
        <v xml:space="preserve">Jõuluvana jõulupuhkus </v>
      </c>
      <c r="J1169" t="str">
        <f>"Lepp, Andres"</f>
        <v>Lepp, Andres</v>
      </c>
      <c r="K1169" t="str">
        <f>"Sinisukk, Tallinn"</f>
        <v>Sinisukk, Tallinn</v>
      </c>
      <c r="L1169" t="str">
        <f>""</f>
        <v/>
      </c>
      <c r="M1169" t="str">
        <f>"9789949080922"</f>
        <v>9789949080922</v>
      </c>
    </row>
    <row r="1170" spans="1:13" ht="15">
      <c r="A1170" t="s">
        <v>217</v>
      </c>
      <c r="B1170" t="str">
        <f>"18120"</f>
        <v>18120</v>
      </c>
      <c r="C1170" t="str">
        <f>"2020"</f>
        <v>2020</v>
      </c>
      <c r="D1170" t="str">
        <f>"Joulupukin lomapuuhakirja"</f>
        <v>Joulupukin lomapuuhakirja</v>
      </c>
      <c r="E1170" t="str">
        <f t="shared" si="95"/>
        <v>viro</v>
      </c>
      <c r="F1170" t="str">
        <f>"pildiraamatud"</f>
        <v>pildiraamatud</v>
      </c>
      <c r="G1170" t="str">
        <f>" lapsed ja noored"</f>
        <v xml:space="preserve"> lapsed ja noored</v>
      </c>
      <c r="H1170" t="str">
        <f t="shared" si="94"/>
        <v>2020</v>
      </c>
      <c r="I1170" t="str">
        <f>"Jõuluvana jõulupuhkus"</f>
        <v>Jõuluvana jõulupuhkus</v>
      </c>
      <c r="J1170" t="str">
        <f>""</f>
        <v/>
      </c>
      <c r="K1170" t="str">
        <f>"Sinisukk, Tallinn"</f>
        <v>Sinisukk, Tallinn</v>
      </c>
      <c r="L1170" t="str">
        <f>""</f>
        <v/>
      </c>
      <c r="M1170" t="str">
        <f>"9789949080915"</f>
        <v>9789949080915</v>
      </c>
    </row>
    <row r="1171" spans="1:13" ht="15">
      <c r="A1171" t="s">
        <v>234</v>
      </c>
      <c r="B1171" t="str">
        <f>"18147"</f>
        <v>18147</v>
      </c>
      <c r="C1171" t="str">
        <f>"2020"</f>
        <v>2020</v>
      </c>
      <c r="D1171" t="str">
        <f>"Villasukkien uusi vuosi"</f>
        <v>Villasukkien uusi vuosi</v>
      </c>
      <c r="E1171" t="str">
        <f t="shared" si="95"/>
        <v>viro</v>
      </c>
      <c r="F1171" t="str">
        <f>""</f>
        <v/>
      </c>
      <c r="G1171" t="str">
        <f>"  täiskasvanud"</f>
        <v xml:space="preserve">  täiskasvanud</v>
      </c>
      <c r="H1171" t="str">
        <f t="shared" si="94"/>
        <v>2020</v>
      </c>
      <c r="I1171" t="str">
        <f>"Villaste sokkide uus aasta"</f>
        <v>Villaste sokkide uus aasta</v>
      </c>
      <c r="J1171" t="str">
        <f>"Plado, Helen"</f>
        <v>Plado, Helen</v>
      </c>
      <c r="K1171" t="str">
        <f>"Tänapäev, Tallinn"</f>
        <v>Tänapäev, Tallinn</v>
      </c>
      <c r="L1171" t="str">
        <f>""</f>
        <v/>
      </c>
      <c r="M1171" t="str">
        <f>""</f>
        <v/>
      </c>
    </row>
    <row r="1172" spans="1:13" ht="15">
      <c r="A1172" t="s">
        <v>235</v>
      </c>
      <c r="B1172" t="str">
        <f>"17281"</f>
        <v>17281</v>
      </c>
      <c r="C1172" t="str">
        <f>"2016"</f>
        <v>2016</v>
      </c>
      <c r="D1172" t="str">
        <f>"Prinsessa Pikkiriikki"</f>
        <v>Prinsessa Pikkiriikki</v>
      </c>
      <c r="E1172" t="str">
        <f t="shared" si="95"/>
        <v>viro</v>
      </c>
      <c r="F1172" t="str">
        <f>"muinasjutud; proosa"</f>
        <v>muinasjutud; proosa</v>
      </c>
      <c r="G1172" t="str">
        <f>" lapsed ja noored"</f>
        <v xml:space="preserve"> lapsed ja noored</v>
      </c>
      <c r="H1172" t="str">
        <f t="shared" si="94"/>
        <v>2020</v>
      </c>
      <c r="I1172" t="str">
        <f>"Printsess Pisitriinu"</f>
        <v>Printsess Pisitriinu</v>
      </c>
      <c r="J1172" t="str">
        <f>"Haasma, Kadi-Riin"</f>
        <v>Haasma, Kadi-Riin</v>
      </c>
      <c r="K1172" t="str">
        <f>"Koolibri, Tallinn"</f>
        <v>Koolibri, Tallinn</v>
      </c>
      <c r="L1172" t="str">
        <f>""</f>
        <v/>
      </c>
      <c r="M1172" t="str">
        <f>"9789985044162"</f>
        <v>9789985044162</v>
      </c>
    </row>
    <row r="1173" spans="1:13" ht="15">
      <c r="A1173" t="s">
        <v>235</v>
      </c>
      <c r="B1173" t="str">
        <f>"17282"</f>
        <v>17282</v>
      </c>
      <c r="C1173" t="str">
        <f>"2019"</f>
        <v>2019</v>
      </c>
      <c r="D1173" t="str">
        <f>"Prinsessa Pikkiriikki ja huutava vääryys"</f>
        <v>Prinsessa Pikkiriikki ja huutava vääryys</v>
      </c>
      <c r="E1173" t="str">
        <f t="shared" si="95"/>
        <v>viro</v>
      </c>
      <c r="F1173" t="str">
        <f>"proosa"</f>
        <v>proosa</v>
      </c>
      <c r="G1173" t="str">
        <f>" lapsed ja noored"</f>
        <v xml:space="preserve"> lapsed ja noored</v>
      </c>
      <c r="H1173" t="str">
        <f t="shared" si="94"/>
        <v>2020</v>
      </c>
      <c r="I1173" t="str">
        <f>"Printsess Pisitriinu ja karjuv ebaõiglus"</f>
        <v>Printsess Pisitriinu ja karjuv ebaõiglus</v>
      </c>
      <c r="J1173" t="str">
        <f>"Haasma, Kadi-Riin"</f>
        <v>Haasma, Kadi-Riin</v>
      </c>
      <c r="K1173" t="str">
        <f>"Koolibri, Tallinn"</f>
        <v>Koolibri, Tallinn</v>
      </c>
      <c r="L1173" t="str">
        <f>""</f>
        <v/>
      </c>
      <c r="M1173" t="str">
        <f>"9789985044155"</f>
        <v>9789985044155</v>
      </c>
    </row>
    <row r="1174" spans="1:13" ht="15">
      <c r="A1174" t="s">
        <v>258</v>
      </c>
      <c r="B1174" t="str">
        <f>"17953"</f>
        <v>17953</v>
      </c>
      <c r="C1174" t="str">
        <f>"2020"</f>
        <v>2020</v>
      </c>
      <c r="D1174" t="str">
        <f>"Elämä oli laiffii : Matti Nykänen 1963–2019"</f>
        <v>Elämä oli laiffii : Matti Nykänen 1963–2019</v>
      </c>
      <c r="E1174" t="str">
        <f t="shared" si="95"/>
        <v>viro</v>
      </c>
      <c r="F1174" t="str">
        <f>""</f>
        <v/>
      </c>
      <c r="G1174" t="str">
        <f>"  täiskasvanud"</f>
        <v xml:space="preserve">  täiskasvanud</v>
      </c>
      <c r="H1174" t="str">
        <f t="shared" si="94"/>
        <v>2020</v>
      </c>
      <c r="I1174" t="str">
        <f>"Elu oli laif : Matti Nykänen"</f>
        <v>Elu oli laif : Matti Nykänen</v>
      </c>
      <c r="J1174" t="str">
        <f>"Kooli, Piret, Kooli, Rain"</f>
        <v>Kooli, Piret, Kooli, Rain</v>
      </c>
      <c r="K1174" t="str">
        <f>"Tänapäev, Tallinn"</f>
        <v>Tänapäev, Tallinn</v>
      </c>
      <c r="L1174" t="str">
        <f>""</f>
        <v/>
      </c>
      <c r="M1174" t="str">
        <f>"9789949859405"</f>
        <v>9789949859405</v>
      </c>
    </row>
    <row r="1175" spans="1:13" ht="15">
      <c r="A1175" t="s">
        <v>292</v>
      </c>
      <c r="B1175" t="str">
        <f>"17683"</f>
        <v>17683</v>
      </c>
      <c r="C1175" t="str">
        <f>"1840"</f>
        <v>1840</v>
      </c>
      <c r="D1175" t="str">
        <f>"Kanteletar, taikka, Suomen kansan wanhoja lauluja ja wirsiä"</f>
        <v>Kanteletar, taikka, Suomen kansan wanhoja lauluja ja wirsiä</v>
      </c>
      <c r="E1175" t="str">
        <f t="shared" si="95"/>
        <v>viro</v>
      </c>
      <c r="F1175" t="str">
        <f>"folkloor"</f>
        <v>folkloor</v>
      </c>
      <c r="G1175" t="str">
        <f>"  täiskasvanud"</f>
        <v xml:space="preserve">  täiskasvanud</v>
      </c>
      <c r="H1175" t="str">
        <f t="shared" si="94"/>
        <v>2020</v>
      </c>
      <c r="I1175" t="str">
        <f>"Kanteletar : Soome kangelaslugusid, ballaade, tundelaule ja nõidusluulet"</f>
        <v>Kanteletar : Soome kangelaslugusid, ballaade, tundelaule ja nõidusluulet</v>
      </c>
      <c r="J1175" t="str">
        <f>"Annist, August"</f>
        <v>Annist, August</v>
      </c>
      <c r="K1175" t="str">
        <f>"Ilmamaa, Tartu"</f>
        <v>Ilmamaa, Tartu</v>
      </c>
      <c r="L1175" t="str">
        <f>"2. p."</f>
        <v>2. p.</v>
      </c>
      <c r="M1175" t="str">
        <f>""</f>
        <v/>
      </c>
    </row>
    <row r="1176" spans="1:13" ht="15">
      <c r="A1176" t="s">
        <v>299</v>
      </c>
      <c r="B1176" t="str">
        <f>"16877"</f>
        <v>16877</v>
      </c>
      <c r="C1176" t="str">
        <f>"2020"</f>
        <v>2020</v>
      </c>
      <c r="D1176" t="str">
        <f>"A wonderful life : insights for finding a meaningful existence"</f>
        <v>A wonderful life : insights for finding a meaningful existence</v>
      </c>
      <c r="E1176" t="str">
        <f t="shared" si="95"/>
        <v>viro</v>
      </c>
      <c r="F1176" t="str">
        <f>""</f>
        <v/>
      </c>
      <c r="G1176" t="str">
        <f>"  täiskasvanud"</f>
        <v xml:space="preserve">  täiskasvanud</v>
      </c>
      <c r="H1176" t="str">
        <f t="shared" si="94"/>
        <v>2020</v>
      </c>
      <c r="I1176" t="str">
        <f>"Imeline elu"</f>
        <v>Imeline elu</v>
      </c>
      <c r="J1176" t="str">
        <f>"Liiders, Lauri"</f>
        <v>Liiders, Lauri</v>
      </c>
      <c r="K1176" t="str">
        <f>"Rahva Raamat, Tallinn"</f>
        <v>Rahva Raamat, Tallinn</v>
      </c>
      <c r="L1176" t="str">
        <f>""</f>
        <v/>
      </c>
      <c r="M1176" t="str">
        <f>"978-9949-693-67-2"</f>
        <v>978-9949-693-67-2</v>
      </c>
    </row>
    <row r="1177" spans="1:13" ht="15">
      <c r="A1177" t="s">
        <v>300</v>
      </c>
      <c r="B1177" t="str">
        <f>"18029"</f>
        <v>18029</v>
      </c>
      <c r="C1177" t="str">
        <f>"2018"</f>
        <v>2018</v>
      </c>
      <c r="D1177" t="str">
        <f>"Virolaiset vieraan vallan väessä 1939-45"</f>
        <v>Virolaiset vieraan vallan väessä 1939-45</v>
      </c>
      <c r="E1177" t="str">
        <f t="shared" si="95"/>
        <v>viro</v>
      </c>
      <c r="F1177" t="str">
        <f>""</f>
        <v/>
      </c>
      <c r="G1177" t="str">
        <f>"  täiskasvanud"</f>
        <v xml:space="preserve">  täiskasvanud</v>
      </c>
      <c r="H1177" t="str">
        <f t="shared" si="94"/>
        <v>2020</v>
      </c>
      <c r="I1177" t="str">
        <f>"Eestlased võõra võimu väes 1939-1945"</f>
        <v>Eestlased võõra võimu väes 1939-1945</v>
      </c>
      <c r="J1177" t="str">
        <f>"Tõnisson, Roland"</f>
        <v>Tõnisson, Roland</v>
      </c>
      <c r="K1177" t="str">
        <f>"Ammukaar, Tallinn"</f>
        <v>Ammukaar, Tallinn</v>
      </c>
      <c r="L1177" t="str">
        <f>""</f>
        <v/>
      </c>
      <c r="M1177" t="str">
        <f>"9789949740581"</f>
        <v>9789949740581</v>
      </c>
    </row>
    <row r="1178" spans="1:13" ht="15">
      <c r="A1178" t="s">
        <v>327</v>
      </c>
      <c r="B1178" t="str">
        <f>"17953"</f>
        <v>17953</v>
      </c>
      <c r="C1178" t="str">
        <f>"2020"</f>
        <v>2020</v>
      </c>
      <c r="D1178" t="str">
        <f>"Elämä oli laiffii : Matti Nykänen 1963–2019"</f>
        <v>Elämä oli laiffii : Matti Nykänen 1963–2019</v>
      </c>
      <c r="E1178" t="str">
        <f t="shared" si="95"/>
        <v>viro</v>
      </c>
      <c r="F1178" t="str">
        <f>""</f>
        <v/>
      </c>
      <c r="G1178" t="str">
        <f>"  täiskasvanud"</f>
        <v xml:space="preserve">  täiskasvanud</v>
      </c>
      <c r="H1178" t="str">
        <f t="shared" si="94"/>
        <v>2020</v>
      </c>
      <c r="I1178" t="str">
        <f>"Elu oli laif : Matti Nykänen"</f>
        <v>Elu oli laif : Matti Nykänen</v>
      </c>
      <c r="J1178" t="str">
        <f>"Kooli, Piret, Kooli, Rain"</f>
        <v>Kooli, Piret, Kooli, Rain</v>
      </c>
      <c r="K1178" t="str">
        <f>"Tänapäev, Tallinn"</f>
        <v>Tänapäev, Tallinn</v>
      </c>
      <c r="L1178" t="str">
        <f>""</f>
        <v/>
      </c>
      <c r="M1178" t="str">
        <f>"9789949859405"</f>
        <v>9789949859405</v>
      </c>
    </row>
    <row r="1179" spans="1:13" ht="15">
      <c r="A1179" t="s">
        <v>346</v>
      </c>
      <c r="B1179" t="str">
        <f>"17093"</f>
        <v>17093</v>
      </c>
      <c r="C1179" t="str">
        <f>"2019"</f>
        <v>2019</v>
      </c>
      <c r="D1179" t="str">
        <f>"Koirapuisto"</f>
        <v>Koirapuisto</v>
      </c>
      <c r="E1179" t="str">
        <f t="shared" si="95"/>
        <v>viro</v>
      </c>
      <c r="F1179" t="str">
        <f>"romaanid; proosa"</f>
        <v>romaanid; proosa</v>
      </c>
      <c r="G1179" t="str">
        <f>"  täiskasvanud"</f>
        <v xml:space="preserve">  täiskasvanud</v>
      </c>
      <c r="H1179" t="str">
        <f t="shared" si="94"/>
        <v>2020</v>
      </c>
      <c r="I1179" t="str">
        <f>"Koertepark"</f>
        <v>Koertepark</v>
      </c>
      <c r="J1179" t="str">
        <f>"Jaanits, Kadri"</f>
        <v>Jaanits, Kadri</v>
      </c>
      <c r="K1179" t="str">
        <f>"Varrak, Tallinn"</f>
        <v>Varrak, Tallinn</v>
      </c>
      <c r="L1179" t="str">
        <f>""</f>
        <v/>
      </c>
      <c r="M1179" t="str">
        <f>"9789985349588"</f>
        <v>9789985349588</v>
      </c>
    </row>
    <row r="1180" spans="1:13" ht="15">
      <c r="A1180" t="s">
        <v>367</v>
      </c>
      <c r="B1180" t="str">
        <f>"17697"</f>
        <v>17697</v>
      </c>
      <c r="C1180" t="str">
        <f>"2011"</f>
        <v>2011</v>
      </c>
      <c r="D1180" t="str">
        <f>"Ella ja Sampan urotyöt"</f>
        <v>Ella ja Sampan urotyöt</v>
      </c>
      <c r="E1180" t="str">
        <f t="shared" si="95"/>
        <v>viro</v>
      </c>
      <c r="F1180" t="str">
        <f>"proosa"</f>
        <v>proosa</v>
      </c>
      <c r="G1180" t="str">
        <f>" lapsed ja noored"</f>
        <v xml:space="preserve"> lapsed ja noored</v>
      </c>
      <c r="H1180" t="str">
        <f t="shared" si="94"/>
        <v>2020</v>
      </c>
      <c r="I1180" t="str">
        <f>"Ella ja Samppa vägiteod"</f>
        <v>Ella ja Samppa vägiteod</v>
      </c>
      <c r="J1180" t="str">
        <f>"Haasma, Kadi-Riin"</f>
        <v>Haasma, Kadi-Riin</v>
      </c>
      <c r="K1180" t="str">
        <f>"Hea Lugu, Tallinn"</f>
        <v>Hea Lugu, Tallinn</v>
      </c>
      <c r="L1180" t="str">
        <f>""</f>
        <v/>
      </c>
      <c r="M1180" t="str">
        <f>"9789916601549"</f>
        <v>9789916601549</v>
      </c>
    </row>
    <row r="1181" spans="1:13" ht="15">
      <c r="A1181" t="s">
        <v>367</v>
      </c>
      <c r="B1181" t="str">
        <f>"17707"</f>
        <v>17707</v>
      </c>
      <c r="C1181" t="str">
        <f>"2010"</f>
        <v>2010</v>
      </c>
      <c r="D1181" t="str">
        <f>"Ella ja Yön ritarit"</f>
        <v>Ella ja Yön ritarit</v>
      </c>
      <c r="E1181" t="str">
        <f t="shared" si="95"/>
        <v>viro</v>
      </c>
      <c r="F1181" t="str">
        <f>"proosa"</f>
        <v>proosa</v>
      </c>
      <c r="G1181" t="str">
        <f>" lapsed ja noored"</f>
        <v xml:space="preserve"> lapsed ja noored</v>
      </c>
      <c r="H1181" t="str">
        <f t="shared" si="94"/>
        <v>2020</v>
      </c>
      <c r="I1181" t="str">
        <f>"Ella ja öö rüütlid"</f>
        <v>Ella ja öö rüütlid</v>
      </c>
      <c r="J1181" t="str">
        <f>"Haasma, Kadi-Riin"</f>
        <v>Haasma, Kadi-Riin</v>
      </c>
      <c r="K1181" t="str">
        <f>"Hea Lugu, Tallinn"</f>
        <v>Hea Lugu, Tallinn</v>
      </c>
      <c r="L1181" t="str">
        <f>""</f>
        <v/>
      </c>
      <c r="M1181" t="str">
        <f>"9789916601051"</f>
        <v>9789916601051</v>
      </c>
    </row>
    <row r="1182" spans="1:13" ht="15">
      <c r="A1182" t="s">
        <v>429</v>
      </c>
      <c r="B1182" t="str">
        <f>"16455"</f>
        <v>16455</v>
      </c>
      <c r="C1182" t="str">
        <f>"2018"</f>
        <v>2018</v>
      </c>
      <c r="D1182" t="str">
        <f>"Väder som förändrade världen"</f>
        <v>Väder som förändrade världen</v>
      </c>
      <c r="E1182" t="str">
        <f t="shared" si="95"/>
        <v>viro</v>
      </c>
      <c r="F1182" t="str">
        <f>""</f>
        <v/>
      </c>
      <c r="G1182" t="str">
        <f>"  täiskasvanud"</f>
        <v xml:space="preserve">  täiskasvanud</v>
      </c>
      <c r="H1182" t="str">
        <f t="shared" si="94"/>
        <v>2020</v>
      </c>
      <c r="I1182" t="str">
        <f>"Ilm, mis muutis maailma"</f>
        <v>Ilm, mis muutis maailma</v>
      </c>
      <c r="J1182" t="str">
        <f>"Haasma, Kadi-Riin"</f>
        <v>Haasma, Kadi-Riin</v>
      </c>
      <c r="K1182" t="str">
        <f>"Ühinenud Ajakirjad, Tallinn"</f>
        <v>Ühinenud Ajakirjad, Tallinn</v>
      </c>
      <c r="L1182" t="str">
        <f>""</f>
        <v/>
      </c>
      <c r="M1182" t="str">
        <f>"978-9949-696-16-1"</f>
        <v>978-9949-696-16-1</v>
      </c>
    </row>
    <row r="1183" spans="1:13" ht="15">
      <c r="A1183" t="s">
        <v>453</v>
      </c>
      <c r="B1183" t="str">
        <f>"18414"</f>
        <v>18414</v>
      </c>
      <c r="C1183" t="str">
        <f>"2018"</f>
        <v>2018</v>
      </c>
      <c r="D1183" t="str">
        <f>"Prilliga prinsessboken"</f>
        <v>Prilliga prinsessboken</v>
      </c>
      <c r="E1183" t="str">
        <f t="shared" si="95"/>
        <v>viro</v>
      </c>
      <c r="F1183" t="str">
        <f>"muinasjutud; proosa"</f>
        <v>muinasjutud; proosa</v>
      </c>
      <c r="G1183" t="str">
        <f>" lapsed ja noored"</f>
        <v xml:space="preserve"> lapsed ja noored</v>
      </c>
      <c r="H1183" t="str">
        <f t="shared" si="94"/>
        <v>2020</v>
      </c>
      <c r="I1183" t="str">
        <f>"Pöörane printsessiraamat"</f>
        <v>Pöörane printsessiraamat</v>
      </c>
      <c r="J1183" t="str">
        <f>"Veigel, Piret"</f>
        <v>Veigel, Piret</v>
      </c>
      <c r="K1183" t="str">
        <f>"Postimees, Tallinn"</f>
        <v>Postimees, Tallinn</v>
      </c>
      <c r="L1183" t="str">
        <f>""</f>
        <v/>
      </c>
      <c r="M1183" t="str">
        <f>"978-9916-603-47-5 "</f>
        <v xml:space="preserve">978-9916-603-47-5 </v>
      </c>
    </row>
    <row r="1184" spans="1:13" ht="15">
      <c r="A1184" t="s">
        <v>456</v>
      </c>
      <c r="B1184" t="str">
        <f>"17084"</f>
        <v>17084</v>
      </c>
      <c r="C1184" t="str">
        <f>"2019"</f>
        <v>2019</v>
      </c>
      <c r="D1184" t="str">
        <f>"Uskollinen lukija"</f>
        <v>Uskollinen lukija</v>
      </c>
      <c r="E1184" t="str">
        <f t="shared" si="95"/>
        <v>viro</v>
      </c>
      <c r="F1184" t="str">
        <f>"romaanid; põnevus- ja krimikirjandus; proosa"</f>
        <v>romaanid; põnevus- ja krimikirjandus; proosa</v>
      </c>
      <c r="G1184" t="str">
        <f>"  täiskasvanud"</f>
        <v xml:space="preserve">  täiskasvanud</v>
      </c>
      <c r="H1184" t="str">
        <f t="shared" si="94"/>
        <v>2020</v>
      </c>
      <c r="I1184" t="str">
        <f>"Uskmatu"</f>
        <v>Uskmatu</v>
      </c>
      <c r="J1184" t="str">
        <f>"Aimla-Laid, Triin"</f>
        <v>Aimla-Laid, Triin</v>
      </c>
      <c r="K1184" t="str">
        <f>"Pegasus, Tallinn"</f>
        <v>Pegasus, Tallinn</v>
      </c>
      <c r="L1184" t="str">
        <f>""</f>
        <v/>
      </c>
      <c r="M1184" t="str">
        <f>"9789916606810"</f>
        <v>9789916606810</v>
      </c>
    </row>
    <row r="1185" spans="1:13" ht="15">
      <c r="A1185" t="s">
        <v>478</v>
      </c>
      <c r="B1185" t="str">
        <f>"17368"</f>
        <v>17368</v>
      </c>
      <c r="C1185" t="str">
        <f>"2019"</f>
        <v>2019</v>
      </c>
      <c r="D1185" t="str">
        <f>"Äidin pieni pahan mielen kirja"</f>
        <v>Äidin pieni pahan mielen kirja</v>
      </c>
      <c r="E1185" t="str">
        <f t="shared" si="95"/>
        <v>viro</v>
      </c>
      <c r="F1185" t="str">
        <f>""</f>
        <v/>
      </c>
      <c r="G1185" t="str">
        <f>"  täiskasvanud"</f>
        <v xml:space="preserve">  täiskasvanud</v>
      </c>
      <c r="H1185" t="str">
        <f t="shared" si="94"/>
        <v>2020</v>
      </c>
      <c r="I1185" t="str">
        <f>"Ema väike tusatuju raamat"</f>
        <v>Ema väike tusatuju raamat</v>
      </c>
      <c r="J1185" t="str">
        <f>"Leesmaa, Liis"</f>
        <v>Leesmaa, Liis</v>
      </c>
      <c r="K1185" t="str">
        <f>"Postimees, Tartu"</f>
        <v>Postimees, Tartu</v>
      </c>
      <c r="L1185" t="str">
        <f>""</f>
        <v/>
      </c>
      <c r="M1185" t="str">
        <f>"978-9916-603-00-0"</f>
        <v>978-9916-603-00-0</v>
      </c>
    </row>
    <row r="1186" spans="1:13" ht="15">
      <c r="A1186" t="s">
        <v>505</v>
      </c>
      <c r="B1186" t="str">
        <f>"18148"</f>
        <v>18148</v>
      </c>
      <c r="C1186" t="str">
        <f>"2019"</f>
        <v>2019</v>
      </c>
      <c r="D1186" t="str">
        <f>"Viron veriset vuodet"</f>
        <v>Viron veriset vuodet</v>
      </c>
      <c r="E1186" t="str">
        <f t="shared" si="95"/>
        <v>viro</v>
      </c>
      <c r="F1186" t="str">
        <f>""</f>
        <v/>
      </c>
      <c r="G1186" t="str">
        <f>"  täiskasvanud"</f>
        <v xml:space="preserve">  täiskasvanud</v>
      </c>
      <c r="H1186" t="str">
        <f t="shared" si="94"/>
        <v>2020</v>
      </c>
      <c r="I1186" t="str">
        <f>"Tallinna tapjad : armutu aeg Eestis"</f>
        <v>Tallinna tapjad : armutu aeg Eestis</v>
      </c>
      <c r="J1186" t="str">
        <f>"Liivak, Sander"</f>
        <v>Liivak, Sander</v>
      </c>
      <c r="K1186" t="str">
        <f>"Tänapäev, Tallinn"</f>
        <v>Tänapäev, Tallinn</v>
      </c>
      <c r="L1186" t="str">
        <f>""</f>
        <v/>
      </c>
      <c r="M1186" t="str">
        <f>"9789949859313"</f>
        <v>9789949859313</v>
      </c>
    </row>
    <row r="1187" spans="1:13" ht="15">
      <c r="A1187" t="s">
        <v>517</v>
      </c>
      <c r="B1187" t="str">
        <f>"17284"</f>
        <v>17284</v>
      </c>
      <c r="C1187" t="str">
        <f>"2019"</f>
        <v>2019</v>
      </c>
      <c r="D1187" t="str">
        <f>"Tatu ja Patu, kauhea Hirviö-Hirviö ja muita outoja juttuja"</f>
        <v>Tatu ja Patu, kauhea Hirviö-Hirviö ja muita outoja juttuja</v>
      </c>
      <c r="E1187" t="str">
        <f t="shared" si="95"/>
        <v>viro</v>
      </c>
      <c r="F1187" t="str">
        <f>"pildiraamatud"</f>
        <v>pildiraamatud</v>
      </c>
      <c r="G1187" t="str">
        <f>" lapsed ja noored"</f>
        <v xml:space="preserve"> lapsed ja noored</v>
      </c>
      <c r="H1187" t="str">
        <f t="shared" si="94"/>
        <v>2020</v>
      </c>
      <c r="I1187" t="str">
        <f>"Teedu ja Peedu, õudne Koletis-Koletis ja teised kentsakad lood"</f>
        <v>Teedu ja Peedu, õudne Koletis-Koletis ja teised kentsakad lood</v>
      </c>
      <c r="J1187" t="str">
        <f>"Tael, Triin"</f>
        <v>Tael, Triin</v>
      </c>
      <c r="K1187" t="str">
        <f>"Hea Lugu, Tallinn"</f>
        <v>Hea Lugu, Tallinn</v>
      </c>
      <c r="L1187" t="str">
        <f>""</f>
        <v/>
      </c>
      <c r="M1187" t="str">
        <f>"9789916601402"</f>
        <v>9789916601402</v>
      </c>
    </row>
    <row r="1188" spans="1:13" ht="15">
      <c r="A1188" t="s">
        <v>518</v>
      </c>
      <c r="B1188" t="str">
        <f>"17015"</f>
        <v>17015</v>
      </c>
      <c r="C1188" t="str">
        <f>"2020"</f>
        <v>2020</v>
      </c>
      <c r="D1188" t="str">
        <f>"Agnes ja unien avain"</f>
        <v>Agnes ja unien avain</v>
      </c>
      <c r="E1188" t="str">
        <f t="shared" si="95"/>
        <v>viro</v>
      </c>
      <c r="F1188" t="str">
        <f>"proosa"</f>
        <v>proosa</v>
      </c>
      <c r="G1188" t="str">
        <f>" lapsed ja noored"</f>
        <v xml:space="preserve"> lapsed ja noored</v>
      </c>
      <c r="H1188" t="str">
        <f t="shared" si="94"/>
        <v>2020</v>
      </c>
      <c r="I1188" t="str">
        <f>"Agnes ja unenägude võti"</f>
        <v>Agnes ja unenägude võti</v>
      </c>
      <c r="J1188" t="str">
        <f>"Lagerspetz, Hille"</f>
        <v>Lagerspetz, Hille</v>
      </c>
      <c r="K1188" t="str">
        <f>"Eesti Raamat, Tallinn"</f>
        <v>Eesti Raamat, Tallinn</v>
      </c>
      <c r="L1188" t="str">
        <f>""</f>
        <v/>
      </c>
      <c r="M1188" t="str">
        <f>"9789949091775"</f>
        <v>9789949091775</v>
      </c>
    </row>
    <row r="1189" spans="1:13" ht="15">
      <c r="A1189" t="s">
        <v>542</v>
      </c>
      <c r="B1189" t="str">
        <f>"17597"</f>
        <v>17597</v>
      </c>
      <c r="C1189" t="str">
        <f>"2013"</f>
        <v>2013</v>
      </c>
      <c r="D1189" t="str">
        <f>"Että tuntisin eläväni"</f>
        <v>Että tuntisin eläväni</v>
      </c>
      <c r="E1189" t="str">
        <f t="shared" si="95"/>
        <v>viro</v>
      </c>
      <c r="F1189" t="str">
        <f>"lühiproosa, proosa"</f>
        <v>lühiproosa, proosa</v>
      </c>
      <c r="G1189" t="str">
        <f>"  täiskasvanud"</f>
        <v xml:space="preserve">  täiskasvanud</v>
      </c>
      <c r="H1189" t="str">
        <f t="shared" si="94"/>
        <v>2020</v>
      </c>
      <c r="I1189" t="str">
        <f>"Tahan tunda, et elan"</f>
        <v>Tahan tunda, et elan</v>
      </c>
      <c r="J1189" t="str">
        <f>"Saluri, Piret"</f>
        <v>Saluri, Piret</v>
      </c>
      <c r="K1189" t="str">
        <f>"Loomingu raamatukogu, Tallinn"</f>
        <v>Loomingu raamatukogu, Tallinn</v>
      </c>
      <c r="L1189" t="str">
        <f>""</f>
        <v/>
      </c>
      <c r="M1189" t="str">
        <f>"9789949638765"</f>
        <v>9789949638765</v>
      </c>
    </row>
    <row r="1190" spans="1:13" ht="15">
      <c r="A1190" t="s">
        <v>543</v>
      </c>
      <c r="B1190" t="str">
        <f>"18150"</f>
        <v>18150</v>
      </c>
      <c r="C1190" t="str">
        <f>"2015"</f>
        <v>2015</v>
      </c>
      <c r="D1190" t="str">
        <f>"Lapsen oma eläinkirja"</f>
        <v>Lapsen oma eläinkirja</v>
      </c>
      <c r="E1190" t="str">
        <f t="shared" si="95"/>
        <v>viro</v>
      </c>
      <c r="F1190" t="str">
        <f>""</f>
        <v/>
      </c>
      <c r="G1190" t="str">
        <f>" lapsed ja noored"</f>
        <v xml:space="preserve"> lapsed ja noored</v>
      </c>
      <c r="H1190" t="str">
        <f t="shared" si="94"/>
        <v>2020</v>
      </c>
      <c r="I1190" t="str">
        <f>"Lapse oma loomaraamat"</f>
        <v>Lapse oma loomaraamat</v>
      </c>
      <c r="J1190" t="str">
        <f>"Juursoo, Lauri"</f>
        <v>Juursoo, Lauri</v>
      </c>
      <c r="K1190" t="str">
        <f>"Kirjastus Elust Enesest, Tallinn"</f>
        <v>Kirjastus Elust Enesest, Tallinn</v>
      </c>
      <c r="L1190" t="str">
        <f>"2. p."</f>
        <v>2. p.</v>
      </c>
      <c r="M1190" t="str">
        <f>"9789949744121"</f>
        <v>9789949744121</v>
      </c>
    </row>
    <row r="1191" spans="1:13" ht="15">
      <c r="A1191" t="s">
        <v>563</v>
      </c>
      <c r="B1191" t="str">
        <f>"14903"</f>
        <v>14903</v>
      </c>
      <c r="C1191" t="str">
        <f>"1948"</f>
        <v>1948</v>
      </c>
      <c r="D1191" t="str">
        <f>"Mikael Karvajalka"</f>
        <v>Mikael Karvajalka</v>
      </c>
      <c r="E1191" t="str">
        <f t="shared" si="95"/>
        <v>viro</v>
      </c>
      <c r="F1191" t="str">
        <f>"romaanid; proosa"</f>
        <v>romaanid; proosa</v>
      </c>
      <c r="G1191" t="str">
        <f>"  täiskasvanud"</f>
        <v xml:space="preserve">  täiskasvanud</v>
      </c>
      <c r="H1191" t="str">
        <f t="shared" si="94"/>
        <v>2020</v>
      </c>
      <c r="I1191" t="str">
        <f>"Mikael Karvajalg"</f>
        <v>Mikael Karvajalg</v>
      </c>
      <c r="J1191" t="str">
        <f>"Saluri, Piret"</f>
        <v>Saluri, Piret</v>
      </c>
      <c r="K1191" t="str">
        <f>"Varrak, Tallinn"</f>
        <v>Varrak, Tallinn</v>
      </c>
      <c r="L1191" t="str">
        <f>""</f>
        <v/>
      </c>
      <c r="M1191" t="str">
        <f>"9789985347775"</f>
        <v>9789985347775</v>
      </c>
    </row>
    <row r="1192" spans="1:13" ht="15">
      <c r="A1192" t="s">
        <v>564</v>
      </c>
      <c r="B1192" t="str">
        <f>"17727"</f>
        <v>17727</v>
      </c>
      <c r="C1192" t="str">
        <f>"2020"</f>
        <v>2020</v>
      </c>
      <c r="D1192" t="str">
        <f>"Tritonus : en skärgårdsberättelse"</f>
        <v>Tritonus : en skärgårdsberättelse</v>
      </c>
      <c r="E1192" t="str">
        <f t="shared" si="95"/>
        <v>viro</v>
      </c>
      <c r="F1192" t="str">
        <f>"romaanid; proosa"</f>
        <v>romaanid; proosa</v>
      </c>
      <c r="G1192" t="str">
        <f>"  täiskasvanud"</f>
        <v xml:space="preserve">  täiskasvanud</v>
      </c>
      <c r="H1192" t="str">
        <f t="shared" si="94"/>
        <v>2020</v>
      </c>
      <c r="I1192" t="str">
        <f>"Tritonus"</f>
        <v>Tritonus</v>
      </c>
      <c r="J1192" t="str">
        <f>"Arnover, Tõnis"</f>
        <v>Arnover, Tõnis</v>
      </c>
      <c r="K1192" t="str">
        <f>"Eesti Raamat, Tallinn"</f>
        <v>Eesti Raamat, Tallinn</v>
      </c>
      <c r="L1192" t="str">
        <f>""</f>
        <v/>
      </c>
      <c r="M1192" t="str">
        <f>"9789916120279"</f>
        <v>9789916120279</v>
      </c>
    </row>
    <row r="1193" spans="1:13" ht="15">
      <c r="A1193" t="s">
        <v>4</v>
      </c>
      <c r="B1193" t="str">
        <f>"18669"</f>
        <v>18669</v>
      </c>
      <c r="C1193" t="str">
        <f>"2010"</f>
        <v>2010</v>
      </c>
      <c r="D1193" t="str">
        <f>"Hurriganes"</f>
        <v>Hurriganes</v>
      </c>
      <c r="E1193" t="str">
        <f t="shared" si="95"/>
        <v>viro</v>
      </c>
      <c r="F1193" t="str">
        <f>""</f>
        <v/>
      </c>
      <c r="G1193" t="str">
        <f>"  täiskasvanud"</f>
        <v xml:space="preserve">  täiskasvanud</v>
      </c>
      <c r="H1193" t="str">
        <f aca="true" t="shared" si="96" ref="H1193:H1224">"2021"</f>
        <v>2021</v>
      </c>
      <c r="I1193" t="str">
        <f>"Hurriganes"</f>
        <v>Hurriganes</v>
      </c>
      <c r="J1193" t="str">
        <f>"Salumets, Vello"</f>
        <v>Salumets, Vello</v>
      </c>
      <c r="K1193" t="str">
        <f>"SE&amp;JS, Tallinn"</f>
        <v>SE&amp;JS, Tallinn</v>
      </c>
      <c r="L1193" t="str">
        <f>""</f>
        <v/>
      </c>
      <c r="M1193" t="str">
        <f>"9789916963128"</f>
        <v>9789916963128</v>
      </c>
    </row>
    <row r="1194" spans="1:13" ht="15">
      <c r="A1194" t="s">
        <v>37</v>
      </c>
      <c r="B1194" t="str">
        <f>"17789"</f>
        <v>17789</v>
      </c>
      <c r="C1194" t="str">
        <f>"2019"</f>
        <v>2019</v>
      </c>
      <c r="D1194" t="str">
        <f>"Sisu, tahto, itsetunto : portaat itkupotkuraivareista aggression hallintaan"</f>
        <v>Sisu, tahto, itsetunto : portaat itkupotkuraivareista aggression hallintaan</v>
      </c>
      <c r="E1194" t="str">
        <f t="shared" si="95"/>
        <v>viro</v>
      </c>
      <c r="F1194" t="str">
        <f>""</f>
        <v/>
      </c>
      <c r="G1194" t="str">
        <f>"  täiskasvanud"</f>
        <v xml:space="preserve">  täiskasvanud</v>
      </c>
      <c r="H1194" t="str">
        <f t="shared" si="96"/>
        <v>2021</v>
      </c>
      <c r="I1194" t="str">
        <f>"Jonn, tahe, enesehinnang"</f>
        <v>Jonn, tahe, enesehinnang</v>
      </c>
      <c r="J1194" t="str">
        <f>"Tallo, Toomas"</f>
        <v>Tallo, Toomas</v>
      </c>
      <c r="K1194" t="str">
        <f>"Varrak, Tallinn"</f>
        <v>Varrak, Tallinn</v>
      </c>
      <c r="L1194" t="str">
        <f>""</f>
        <v/>
      </c>
      <c r="M1194" t="str">
        <f>"9789985351123"</f>
        <v>9789985351123</v>
      </c>
    </row>
    <row r="1195" spans="1:13" ht="15">
      <c r="A1195" t="s">
        <v>45</v>
      </c>
      <c r="B1195" t="str">
        <f>"17606"</f>
        <v>17606</v>
      </c>
      <c r="C1195" t="str">
        <f>"2018"</f>
        <v>2018</v>
      </c>
      <c r="D1195" t="str">
        <f>"Fågeltämjaren"</f>
        <v>Fågeltämjaren</v>
      </c>
      <c r="E1195" t="str">
        <f t="shared" si="95"/>
        <v>viro</v>
      </c>
      <c r="F1195" t="str">
        <f>"romaanid; proosa"</f>
        <v>romaanid; proosa</v>
      </c>
      <c r="G1195" t="str">
        <f>" lapsed ja noored"</f>
        <v xml:space="preserve"> lapsed ja noored</v>
      </c>
      <c r="H1195" t="str">
        <f t="shared" si="96"/>
        <v>2021</v>
      </c>
      <c r="I1195" t="str">
        <f>"Linnutaltsutaja"</f>
        <v>Linnutaltsutaja</v>
      </c>
      <c r="J1195" t="str">
        <f>"Okas, Kadri"</f>
        <v>Okas, Kadri</v>
      </c>
      <c r="K1195" t="str">
        <f>"Sinisukk, Tallinn"</f>
        <v>Sinisukk, Tallinn</v>
      </c>
      <c r="L1195" t="str">
        <f>""</f>
        <v/>
      </c>
      <c r="M1195" t="str">
        <f>"9789949080861"</f>
        <v>9789949080861</v>
      </c>
    </row>
    <row r="1196" spans="1:13" ht="15">
      <c r="A1196" t="s">
        <v>45</v>
      </c>
      <c r="B1196" t="str">
        <f>"18266"</f>
        <v>18266</v>
      </c>
      <c r="C1196" t="str">
        <f>"2020"</f>
        <v>2020</v>
      </c>
      <c r="D1196" t="str">
        <f>"Nattexpressen : en berättelse i 24 kapitel"</f>
        <v>Nattexpressen : en berättelse i 24 kapitel</v>
      </c>
      <c r="E1196" t="str">
        <f t="shared" si="95"/>
        <v>viro</v>
      </c>
      <c r="F1196" t="str">
        <f>"proosa"</f>
        <v>proosa</v>
      </c>
      <c r="G1196" t="str">
        <f>" lapsed ja noored"</f>
        <v xml:space="preserve"> lapsed ja noored</v>
      </c>
      <c r="H1196" t="str">
        <f t="shared" si="96"/>
        <v>2021</v>
      </c>
      <c r="I1196" t="str">
        <f>"Ööekspress : jutustus 24 peatükis"</f>
        <v>Ööekspress : jutustus 24 peatükis</v>
      </c>
      <c r="J1196" t="str">
        <f>"Okas, Kadri"</f>
        <v>Okas, Kadri</v>
      </c>
      <c r="K1196" t="str">
        <f>"Sinisukk, Tallinn"</f>
        <v>Sinisukk, Tallinn</v>
      </c>
      <c r="L1196" t="str">
        <f>""</f>
        <v/>
      </c>
      <c r="M1196" t="str">
        <f>"9789949081899 "</f>
        <v xml:space="preserve">9789949081899 </v>
      </c>
    </row>
    <row r="1197" spans="1:13" ht="15">
      <c r="A1197" t="s">
        <v>46</v>
      </c>
      <c r="B1197" t="str">
        <f>"18493"</f>
        <v>18493</v>
      </c>
      <c r="C1197" t="str">
        <f>"2020"</f>
        <v>2020</v>
      </c>
      <c r="D1197" t="str">
        <f>"Lumotun maan kartasto : tarinoita muuttuvalta planeetalta"</f>
        <v>Lumotun maan kartasto : tarinoita muuttuvalta planeetalta</v>
      </c>
      <c r="E1197" t="str">
        <f t="shared" si="95"/>
        <v>viro</v>
      </c>
      <c r="F1197" t="str">
        <f>""</f>
        <v/>
      </c>
      <c r="G1197" t="str">
        <f>" lapsed ja noored"</f>
        <v xml:space="preserve"> lapsed ja noored</v>
      </c>
      <c r="H1197" t="str">
        <f t="shared" si="96"/>
        <v>2021</v>
      </c>
      <c r="I1197" t="str">
        <f>"Lummav planeet Maa"</f>
        <v>Lummav planeet Maa</v>
      </c>
      <c r="J1197" t="str">
        <f>"Haav, Evelin "</f>
        <v xml:space="preserve">Haav, Evelin </v>
      </c>
      <c r="K1197" t="str">
        <f>"Avita, Tallinn"</f>
        <v>Avita, Tallinn</v>
      </c>
      <c r="L1197" t="str">
        <f>""</f>
        <v/>
      </c>
      <c r="M1197" t="str">
        <f>"9789985223482 "</f>
        <v xml:space="preserve">9789985223482 </v>
      </c>
    </row>
    <row r="1198" spans="1:13" ht="15">
      <c r="A1198" t="s">
        <v>46</v>
      </c>
      <c r="B1198" t="str">
        <f>"18143"</f>
        <v>18143</v>
      </c>
      <c r="C1198" t="str">
        <f>"2021"</f>
        <v>2021</v>
      </c>
      <c r="D1198" t="str">
        <f>"Mennään piiloon : tutkitaan näkymätöntä"</f>
        <v>Mennään piiloon : tutkitaan näkymätöntä</v>
      </c>
      <c r="E1198" t="str">
        <f t="shared" si="95"/>
        <v>viro</v>
      </c>
      <c r="F1198" t="str">
        <f>""</f>
        <v/>
      </c>
      <c r="G1198" t="str">
        <f>" lapsed ja noored"</f>
        <v xml:space="preserve"> lapsed ja noored</v>
      </c>
      <c r="H1198" t="str">
        <f t="shared" si="96"/>
        <v>2021</v>
      </c>
      <c r="I1198" t="str">
        <f>"Nähtamatu maailm : mängime peitust!"</f>
        <v>Nähtamatu maailm : mängime peitust!</v>
      </c>
      <c r="J1198" t="str">
        <f>"Luisa Tõlkebüroo, "</f>
        <v xml:space="preserve">Luisa Tõlkebüroo, </v>
      </c>
      <c r="K1198" t="str">
        <f>"Avita, Tallinn"</f>
        <v>Avita, Tallinn</v>
      </c>
      <c r="L1198" t="str">
        <f>""</f>
        <v/>
      </c>
      <c r="M1198" t="str">
        <f>"9789985223338"</f>
        <v>9789985223338</v>
      </c>
    </row>
    <row r="1199" spans="1:13" ht="15">
      <c r="A1199" t="s">
        <v>46</v>
      </c>
      <c r="B1199" t="str">
        <f>"17248"</f>
        <v>17248</v>
      </c>
      <c r="C1199" t="str">
        <f>"2017"</f>
        <v>2017</v>
      </c>
      <c r="D1199" t="str">
        <f>"Vesi : kirja maailman tärkeimmästä aineesta"</f>
        <v>Vesi : kirja maailman tärkeimmästä aineesta</v>
      </c>
      <c r="E1199" t="str">
        <f t="shared" si="95"/>
        <v>viro</v>
      </c>
      <c r="F1199" t="str">
        <f>""</f>
        <v/>
      </c>
      <c r="G1199" t="str">
        <f>" lapsed ja noored"</f>
        <v xml:space="preserve"> lapsed ja noored</v>
      </c>
      <c r="H1199" t="str">
        <f t="shared" si="96"/>
        <v>2021</v>
      </c>
      <c r="I1199" t="str">
        <f>"Vesi : raamat maailma tähtsaimast ainest"</f>
        <v>Vesi : raamat maailma tähtsaimast ainest</v>
      </c>
      <c r="J1199" t="str">
        <f>"Jaanits, Kadri"</f>
        <v>Jaanits, Kadri</v>
      </c>
      <c r="K1199" t="str">
        <f>"Tammerraamat, Tallinn"</f>
        <v>Tammerraamat, Tallinn</v>
      </c>
      <c r="L1199" t="str">
        <f>""</f>
        <v/>
      </c>
      <c r="M1199" t="str">
        <f>"9789949690572"</f>
        <v>9789949690572</v>
      </c>
    </row>
    <row r="1200" spans="1:13" ht="15">
      <c r="A1200" t="s">
        <v>46</v>
      </c>
      <c r="B1200" t="str">
        <f>"17249"</f>
        <v>17249</v>
      </c>
      <c r="C1200" t="str">
        <f>"2016"</f>
        <v>2016</v>
      </c>
      <c r="D1200" t="str">
        <f>"Yö : kirja unesta ja pimeän salaisuuksista"</f>
        <v>Yö : kirja unesta ja pimeän salaisuuksista</v>
      </c>
      <c r="E1200" t="str">
        <f t="shared" si="95"/>
        <v>viro</v>
      </c>
      <c r="F1200" t="str">
        <f>""</f>
        <v/>
      </c>
      <c r="G1200" t="str">
        <f>" lapsed ja noored"</f>
        <v xml:space="preserve"> lapsed ja noored</v>
      </c>
      <c r="H1200" t="str">
        <f t="shared" si="96"/>
        <v>2021</v>
      </c>
      <c r="I1200" t="str">
        <f>"Öö : raamat unest ja pimeduse saladustest"</f>
        <v>Öö : raamat unest ja pimeduse saladustest</v>
      </c>
      <c r="J1200" t="str">
        <f>"Jaanits, Kadri"</f>
        <v>Jaanits, Kadri</v>
      </c>
      <c r="K1200" t="str">
        <f>"Tammerraamat, Tallinn"</f>
        <v>Tammerraamat, Tallinn</v>
      </c>
      <c r="L1200" t="str">
        <f>""</f>
        <v/>
      </c>
      <c r="M1200" t="str">
        <f>"9789949690589"</f>
        <v>9789949690589</v>
      </c>
    </row>
    <row r="1201" spans="1:13" ht="15">
      <c r="A1201" t="s">
        <v>49</v>
      </c>
      <c r="B1201" t="str">
        <f>"16964"</f>
        <v>16964</v>
      </c>
      <c r="C1201" t="str">
        <f>"2018"</f>
        <v>2018</v>
      </c>
      <c r="D1201" t="str">
        <f>"Paranoidi optimisti : näin johdin Nokiaa murroksessa"</f>
        <v>Paranoidi optimisti : näin johdin Nokiaa murroksessa</v>
      </c>
      <c r="E1201" t="str">
        <f t="shared" si="95"/>
        <v>viro</v>
      </c>
      <c r="F1201" t="str">
        <f>""</f>
        <v/>
      </c>
      <c r="G1201" t="str">
        <f>"  täiskasvanud"</f>
        <v xml:space="preserve">  täiskasvanud</v>
      </c>
      <c r="H1201" t="str">
        <f t="shared" si="96"/>
        <v>2021</v>
      </c>
      <c r="I1201" t="str">
        <f>"Paranoiline optimist"</f>
        <v>Paranoiline optimist</v>
      </c>
      <c r="J1201" t="str">
        <f>"Aimla-Laid, Triin"</f>
        <v>Aimla-Laid, Triin</v>
      </c>
      <c r="K1201" t="str">
        <f>"Pegasus, Tallinn"</f>
        <v>Pegasus, Tallinn</v>
      </c>
      <c r="L1201" t="str">
        <f>""</f>
        <v/>
      </c>
      <c r="M1201" t="str">
        <f>"9789916613733"</f>
        <v>9789916613733</v>
      </c>
    </row>
    <row r="1202" spans="1:13" ht="15">
      <c r="A1202" t="s">
        <v>57</v>
      </c>
      <c r="B1202" t="str">
        <f>"16457"</f>
        <v>16457</v>
      </c>
      <c r="C1202" t="str">
        <f>"2014"</f>
        <v>2014</v>
      </c>
      <c r="D1202" t="str">
        <f>"Kootut runot"</f>
        <v>Kootut runot</v>
      </c>
      <c r="E1202" t="str">
        <f t="shared" si="95"/>
        <v>viro</v>
      </c>
      <c r="F1202" t="str">
        <f>"luule, lüürika"</f>
        <v>luule, lüürika</v>
      </c>
      <c r="G1202" t="str">
        <f>"  täiskasvanud"</f>
        <v xml:space="preserve">  täiskasvanud</v>
      </c>
      <c r="H1202" t="str">
        <f t="shared" si="96"/>
        <v>2021</v>
      </c>
      <c r="I1202" t="str">
        <f>"Kogutud luuletused"</f>
        <v>Kogutud luuletused</v>
      </c>
      <c r="J1202" t="s">
        <v>58</v>
      </c>
      <c r="K1202" t="str">
        <f>"EKSA, Tallinn"</f>
        <v>EKSA, Tallinn</v>
      </c>
      <c r="L1202" t="str">
        <f>""</f>
        <v/>
      </c>
      <c r="M1202" t="str">
        <f>""</f>
        <v/>
      </c>
    </row>
    <row r="1203" spans="1:13" ht="15">
      <c r="A1203" t="s">
        <v>57</v>
      </c>
      <c r="B1203" t="str">
        <f>"18082"</f>
        <v>18082</v>
      </c>
      <c r="C1203" t="str">
        <f>"1999"</f>
        <v>1999</v>
      </c>
      <c r="D1203" t="str">
        <f>"Päämaja - Suomen hovi"</f>
        <v>Päämaja - Suomen hovi</v>
      </c>
      <c r="E1203" t="str">
        <f t="shared" si="95"/>
        <v>viro</v>
      </c>
      <c r="F1203" t="str">
        <f>""</f>
        <v/>
      </c>
      <c r="G1203" t="str">
        <f>"  täiskasvanud"</f>
        <v xml:space="preserve">  täiskasvanud</v>
      </c>
      <c r="H1203" t="str">
        <f t="shared" si="96"/>
        <v>2021</v>
      </c>
      <c r="I1203" t="str">
        <f>"Peakorter - Soome õukond"</f>
        <v>Peakorter - Soome õukond</v>
      </c>
      <c r="J1203" t="str">
        <f>"Vaht, Elle"</f>
        <v>Vaht, Elle</v>
      </c>
      <c r="K1203" t="str">
        <f>"Argo, Tallinn"</f>
        <v>Argo, Tallinn</v>
      </c>
      <c r="L1203" t="str">
        <f>""</f>
        <v/>
      </c>
      <c r="M1203" t="str">
        <f>"9789949688586"</f>
        <v>9789949688586</v>
      </c>
    </row>
    <row r="1204" spans="1:13" ht="15">
      <c r="A1204" t="s">
        <v>60</v>
      </c>
      <c r="B1204" t="str">
        <f>"17702"</f>
        <v>17702</v>
      </c>
      <c r="C1204" t="str">
        <f>"2020"</f>
        <v>2020</v>
      </c>
      <c r="D1204" t="str">
        <f>"Painajaispuoti : Hirmuinen Jumimies"</f>
        <v>Painajaispuoti : Hirmuinen Jumimies</v>
      </c>
      <c r="E1204" t="str">
        <f t="shared" si="95"/>
        <v>viro</v>
      </c>
      <c r="F1204" t="str">
        <f>"proosa"</f>
        <v>proosa</v>
      </c>
      <c r="G1204" t="str">
        <f>" lapsed ja noored"</f>
        <v xml:space="preserve"> lapsed ja noored</v>
      </c>
      <c r="H1204" t="str">
        <f t="shared" si="96"/>
        <v>2021</v>
      </c>
      <c r="I1204" t="str">
        <f>"Painajapood ja pirakas pugelik"</f>
        <v>Painajapood ja pirakas pugelik</v>
      </c>
      <c r="J1204" t="str">
        <f>"Kass, Kristiina"</f>
        <v>Kass, Kristiina</v>
      </c>
      <c r="K1204" t="str">
        <f>"Postimees, Tallinn"</f>
        <v>Postimees, Tallinn</v>
      </c>
      <c r="L1204" t="str">
        <f>""</f>
        <v/>
      </c>
      <c r="M1204" t="str">
        <f>"9789916667385"</f>
        <v>9789916667385</v>
      </c>
    </row>
    <row r="1205" spans="1:13" ht="15">
      <c r="A1205" t="s">
        <v>65</v>
      </c>
      <c r="B1205" t="str">
        <f>"18366"</f>
        <v>18366</v>
      </c>
      <c r="C1205" t="str">
        <f>"2021"</f>
        <v>2021</v>
      </c>
      <c r="D1205" t="str">
        <f>"Kanttorilan kumma vieras"</f>
        <v>Kanttorilan kumma vieras</v>
      </c>
      <c r="E1205" t="str">
        <f t="shared" si="95"/>
        <v>viro</v>
      </c>
      <c r="F1205" t="str">
        <f>"pildiraamatud"</f>
        <v>pildiraamatud</v>
      </c>
      <c r="G1205" t="str">
        <f>" lapsed ja noored"</f>
        <v xml:space="preserve"> lapsed ja noored</v>
      </c>
      <c r="H1205" t="str">
        <f t="shared" si="96"/>
        <v>2021</v>
      </c>
      <c r="I1205" t="str">
        <f>"Köstri kummaline külaline"</f>
        <v>Köstri kummaline külaline</v>
      </c>
      <c r="J1205" t="str">
        <f>"Juursoo, Lauri"</f>
        <v>Juursoo, Lauri</v>
      </c>
      <c r="K1205" t="str">
        <f>"Elust Enesest, Tallinn"</f>
        <v>Elust Enesest, Tallinn</v>
      </c>
      <c r="L1205" t="str">
        <f>""</f>
        <v/>
      </c>
      <c r="M1205" t="str">
        <f>"9789949744145"</f>
        <v>9789949744145</v>
      </c>
    </row>
    <row r="1206" spans="1:13" ht="15">
      <c r="A1206" t="s">
        <v>67</v>
      </c>
      <c r="B1206" t="str">
        <f>"18668"</f>
        <v>18668</v>
      </c>
      <c r="C1206" t="str">
        <f>"2018"</f>
        <v>2018</v>
      </c>
      <c r="D1206" t="str">
        <f>"Pronssitähti"</f>
        <v>Pronssitähti</v>
      </c>
      <c r="E1206" t="str">
        <f t="shared" si="95"/>
        <v>viro</v>
      </c>
      <c r="F1206" t="str">
        <f>"romaanid; proosa"</f>
        <v>romaanid; proosa</v>
      </c>
      <c r="G1206" t="str">
        <f>"  täiskasvanud"</f>
        <v xml:space="preserve">  täiskasvanud</v>
      </c>
      <c r="H1206" t="str">
        <f t="shared" si="96"/>
        <v>2021</v>
      </c>
      <c r="I1206" t="str">
        <f>"Pronkstäht"</f>
        <v>Pronkstäht</v>
      </c>
      <c r="J1206" t="str">
        <f>"Kordemets, Gerda"</f>
        <v>Kordemets, Gerda</v>
      </c>
      <c r="K1206" t="str">
        <f>"Hea Lugu, Tallinn"</f>
        <v>Hea Lugu, Tallinn</v>
      </c>
      <c r="L1206" t="str">
        <f>""</f>
        <v/>
      </c>
      <c r="M1206" t="str">
        <f>"9789916646243"</f>
        <v>9789916646243</v>
      </c>
    </row>
    <row r="1207" spans="1:13" ht="15">
      <c r="A1207" t="s">
        <v>68</v>
      </c>
      <c r="B1207" t="str">
        <f>"18064"</f>
        <v>18064</v>
      </c>
      <c r="C1207" t="str">
        <f>"2020"</f>
        <v>2020</v>
      </c>
      <c r="D1207" t="str">
        <f>"Tatu ja Patu : kovaa menoa kiskoilla"</f>
        <v>Tatu ja Patu : kovaa menoa kiskoilla</v>
      </c>
      <c r="E1207" t="str">
        <f t="shared" si="95"/>
        <v>viro</v>
      </c>
      <c r="F1207" t="str">
        <f>"pildiraamatud"</f>
        <v>pildiraamatud</v>
      </c>
      <c r="G1207" t="str">
        <f>" lapsed ja noored"</f>
        <v xml:space="preserve"> lapsed ja noored</v>
      </c>
      <c r="H1207" t="str">
        <f t="shared" si="96"/>
        <v>2021</v>
      </c>
      <c r="I1207" t="str">
        <f>"Teedu ja Peedu raju rongisõit"</f>
        <v>Teedu ja Peedu raju rongisõit</v>
      </c>
      <c r="J1207" t="str">
        <f>"Tael, Triin"</f>
        <v>Tael, Triin</v>
      </c>
      <c r="K1207" t="str">
        <f>"Hea Lugu, Tallinn"</f>
        <v>Hea Lugu, Tallinn</v>
      </c>
      <c r="L1207" t="str">
        <f>""</f>
        <v/>
      </c>
      <c r="M1207" t="str">
        <f>"9789916601907"</f>
        <v>9789916601907</v>
      </c>
    </row>
    <row r="1208" spans="1:13" ht="15">
      <c r="A1208" t="s">
        <v>68</v>
      </c>
      <c r="B1208" t="str">
        <f>"18631"</f>
        <v>18631</v>
      </c>
      <c r="C1208" t="str">
        <f>"2013"</f>
        <v>2013</v>
      </c>
      <c r="D1208" t="str">
        <f>"Tatun ja Patun kummat keksinnöt kautta aikojen"</f>
        <v>Tatun ja Patun kummat keksinnöt kautta aikojen</v>
      </c>
      <c r="E1208" t="str">
        <f t="shared" si="95"/>
        <v>viro</v>
      </c>
      <c r="F1208" t="str">
        <f>"pildiraamatud"</f>
        <v>pildiraamatud</v>
      </c>
      <c r="G1208" t="str">
        <f>" lapsed ja noored"</f>
        <v xml:space="preserve"> lapsed ja noored</v>
      </c>
      <c r="H1208" t="str">
        <f t="shared" si="96"/>
        <v>2021</v>
      </c>
      <c r="I1208" t="str">
        <f>"Teedu ja Peedu veidrad leiutised läbi aegade "</f>
        <v xml:space="preserve">Teedu ja Peedu veidrad leiutised läbi aegade </v>
      </c>
      <c r="J1208" t="str">
        <f>"Tael, Triin"</f>
        <v>Tael, Triin</v>
      </c>
      <c r="K1208" t="str">
        <f>"Hea Lugu, Tallinn"</f>
        <v>Hea Lugu, Tallinn</v>
      </c>
      <c r="L1208" t="str">
        <f>""</f>
        <v/>
      </c>
      <c r="M1208" t="str">
        <f>"9789916646540 "</f>
        <v xml:space="preserve">9789916646540 </v>
      </c>
    </row>
    <row r="1209" spans="1:13" ht="15">
      <c r="A1209" t="s">
        <v>88</v>
      </c>
      <c r="B1209" t="str">
        <f>"17414"</f>
        <v>17414</v>
      </c>
      <c r="C1209" t="str">
        <f>"2019"</f>
        <v>2019</v>
      </c>
      <c r="D1209" t="str">
        <f>"Näin aivot oppivat"</f>
        <v>Näin aivot oppivat</v>
      </c>
      <c r="E1209" t="str">
        <f t="shared" si="95"/>
        <v>viro</v>
      </c>
      <c r="F1209" t="str">
        <f>""</f>
        <v/>
      </c>
      <c r="G1209" t="str">
        <f>"  täiskasvanud"</f>
        <v xml:space="preserve">  täiskasvanud</v>
      </c>
      <c r="H1209" t="str">
        <f t="shared" si="96"/>
        <v>2021</v>
      </c>
      <c r="I1209" t="str">
        <f>"Kuidas aju õpib"</f>
        <v>Kuidas aju õpib</v>
      </c>
      <c r="J1209" t="str">
        <f>"Tooman, Jane"</f>
        <v>Tooman, Jane</v>
      </c>
      <c r="K1209" t="str">
        <f>"Koolibri, Tallinn"</f>
        <v>Koolibri, Tallinn</v>
      </c>
      <c r="L1209" t="str">
        <f>""</f>
        <v/>
      </c>
      <c r="M1209" t="str">
        <f>"9789985044926"</f>
        <v>9789985044926</v>
      </c>
    </row>
    <row r="1210" spans="1:13" ht="15">
      <c r="A1210" t="s">
        <v>92</v>
      </c>
      <c r="B1210" t="str">
        <f>"18269"</f>
        <v>18269</v>
      </c>
      <c r="C1210" t="str">
        <f>"1970"</f>
        <v>1970</v>
      </c>
      <c r="D1210" t="str">
        <f>"Lampaansyöjät"</f>
        <v>Lampaansyöjät</v>
      </c>
      <c r="E1210" t="str">
        <f t="shared" si="95"/>
        <v>viro</v>
      </c>
      <c r="F1210" t="str">
        <f>"romaanid; proosa"</f>
        <v>romaanid; proosa</v>
      </c>
      <c r="G1210" t="str">
        <f>"  täiskasvanud"</f>
        <v xml:space="preserve">  täiskasvanud</v>
      </c>
      <c r="H1210" t="str">
        <f t="shared" si="96"/>
        <v>2021</v>
      </c>
      <c r="I1210" t="str">
        <f>"Lambasööjad"</f>
        <v>Lambasööjad</v>
      </c>
      <c r="J1210" t="str">
        <f>"Mõisnik, Mihkel"</f>
        <v>Mõisnik, Mihkel</v>
      </c>
      <c r="K1210" t="str">
        <f>"EKSA, Tallinn"</f>
        <v>EKSA, Tallinn</v>
      </c>
      <c r="L1210" t="str">
        <f>""</f>
        <v/>
      </c>
      <c r="M1210" t="str">
        <f>"9789949684632"</f>
        <v>9789949684632</v>
      </c>
    </row>
    <row r="1211" spans="1:13" ht="15">
      <c r="A1211" t="s">
        <v>93</v>
      </c>
      <c r="B1211" t="str">
        <f>"15650"</f>
        <v>15650</v>
      </c>
      <c r="C1211" t="str">
        <f>"2017"</f>
        <v>2017</v>
      </c>
      <c r="D1211" t="str">
        <f>"Niemi"</f>
        <v>Niemi</v>
      </c>
      <c r="E1211" t="str">
        <f t="shared" si="95"/>
        <v>viro</v>
      </c>
      <c r="F1211" t="str">
        <f>"romaanid; proosa"</f>
        <v>romaanid; proosa</v>
      </c>
      <c r="G1211" t="str">
        <f>"  täiskasvanud"</f>
        <v xml:space="preserve">  täiskasvanud</v>
      </c>
      <c r="H1211" t="str">
        <f t="shared" si="96"/>
        <v>2021</v>
      </c>
      <c r="I1211" t="str">
        <f>"Neem"</f>
        <v>Neem</v>
      </c>
      <c r="J1211" t="str">
        <f>"Kokla, Tiiu"</f>
        <v>Kokla, Tiiu</v>
      </c>
      <c r="K1211" t="str">
        <f>"Varrak, Tallinn"</f>
        <v>Varrak, Tallinn</v>
      </c>
      <c r="L1211" t="str">
        <f>""</f>
        <v/>
      </c>
      <c r="M1211" t="str">
        <f>"9789985350911"</f>
        <v>9789985350911</v>
      </c>
    </row>
    <row r="1212" spans="1:13" ht="15">
      <c r="A1212" t="s">
        <v>125</v>
      </c>
      <c r="B1212" t="str">
        <f>"18974"</f>
        <v>18974</v>
      </c>
      <c r="C1212" t="str">
        <f>"2020"</f>
        <v>2020</v>
      </c>
      <c r="D1212" t="str">
        <f>"Kiitoskortti Hitleriltä : SS-mies Jorma Laitisen päiväkirjat 1941-1943"</f>
        <v>Kiitoskortti Hitleriltä : SS-mies Jorma Laitisen päiväkirjat 1941-1943</v>
      </c>
      <c r="E1212" t="str">
        <f t="shared" si="95"/>
        <v>viro</v>
      </c>
      <c r="F1212" t="str">
        <f>""</f>
        <v/>
      </c>
      <c r="G1212" t="str">
        <f>"  täiskasvanud"</f>
        <v xml:space="preserve">  täiskasvanud</v>
      </c>
      <c r="H1212" t="str">
        <f t="shared" si="96"/>
        <v>2021</v>
      </c>
      <c r="I1212" t="str">
        <f>"Tänukaart Hitlerilt"</f>
        <v>Tänukaart Hitlerilt</v>
      </c>
      <c r="J1212" t="str">
        <f>"Adamson, Andres"</f>
        <v>Adamson, Andres</v>
      </c>
      <c r="K1212" t="str">
        <f>"Argo, Tallinn"</f>
        <v>Argo, Tallinn</v>
      </c>
      <c r="L1212" t="str">
        <f>""</f>
        <v/>
      </c>
      <c r="M1212" t="str">
        <f>"9789949688753"</f>
        <v>9789949688753</v>
      </c>
    </row>
    <row r="1213" spans="1:13" ht="15">
      <c r="A1213" t="s">
        <v>133</v>
      </c>
      <c r="B1213" t="str">
        <f>"16869"</f>
        <v>16869</v>
      </c>
      <c r="C1213" t="str">
        <f>"2015"</f>
        <v>2015</v>
      </c>
      <c r="D1213" t="str">
        <f>"Pikku hiiri, tuuliviiri"</f>
        <v>Pikku hiiri, tuuliviiri</v>
      </c>
      <c r="E1213" t="str">
        <f t="shared" si="95"/>
        <v>viro</v>
      </c>
      <c r="F1213" t="str">
        <f>"pildiraamatud"</f>
        <v>pildiraamatud</v>
      </c>
      <c r="G1213" t="str">
        <f>" lapsed ja noored"</f>
        <v xml:space="preserve"> lapsed ja noored</v>
      </c>
      <c r="H1213" t="str">
        <f t="shared" si="96"/>
        <v>2021</v>
      </c>
      <c r="I1213" t="str">
        <f>"Väikese hiire päev"</f>
        <v>Väikese hiire päev</v>
      </c>
      <c r="J1213" t="str">
        <f>"Oidekivi, Dea"</f>
        <v>Oidekivi, Dea</v>
      </c>
      <c r="K1213" t="str">
        <f>"Rahva Raamat, Tallinn"</f>
        <v>Rahva Raamat, Tallinn</v>
      </c>
      <c r="L1213" t="str">
        <f>""</f>
        <v/>
      </c>
      <c r="M1213" t="str">
        <f>"9789916661215"</f>
        <v>9789916661215</v>
      </c>
    </row>
    <row r="1214" spans="1:13" ht="15">
      <c r="A1214" t="s">
        <v>138</v>
      </c>
      <c r="B1214" t="str">
        <f>"16846"</f>
        <v>16846</v>
      </c>
      <c r="C1214" t="str">
        <f>"2019"</f>
        <v>2019</v>
      </c>
      <c r="D1214" t="str">
        <f>"Pet agents. 1, Täältä tullaan, lemmikit!"</f>
        <v>Pet agents. 1, Täältä tullaan, lemmikit!</v>
      </c>
      <c r="E1214" t="str">
        <f t="shared" si="95"/>
        <v>viro</v>
      </c>
      <c r="F1214" t="str">
        <f>"proosa"</f>
        <v>proosa</v>
      </c>
      <c r="G1214" t="str">
        <f>" lapsed ja noored"</f>
        <v xml:space="preserve"> lapsed ja noored</v>
      </c>
      <c r="H1214" t="str">
        <f t="shared" si="96"/>
        <v>2021</v>
      </c>
      <c r="I1214" t="str">
        <f>"Loomaabi on teel!"</f>
        <v>Loomaabi on teel!</v>
      </c>
      <c r="J1214" t="str">
        <f>"Jaanits, Kadri"</f>
        <v>Jaanits, Kadri</v>
      </c>
      <c r="K1214" t="str">
        <f>"Rahva Raamat, Tallinn"</f>
        <v>Rahva Raamat, Tallinn</v>
      </c>
      <c r="L1214" t="str">
        <f>""</f>
        <v/>
      </c>
      <c r="M1214" t="str">
        <f>"9789916615706"</f>
        <v>9789916615706</v>
      </c>
    </row>
    <row r="1215" spans="1:13" ht="15">
      <c r="A1215" t="s">
        <v>139</v>
      </c>
      <c r="B1215" t="str">
        <f>"16846"</f>
        <v>16846</v>
      </c>
      <c r="C1215" t="str">
        <f>"2019"</f>
        <v>2019</v>
      </c>
      <c r="D1215" t="str">
        <f>"Pet agents. 1, Täältä tullaan, lemmikit!"</f>
        <v>Pet agents. 1, Täältä tullaan, lemmikit!</v>
      </c>
      <c r="E1215" t="str">
        <f t="shared" si="95"/>
        <v>viro</v>
      </c>
      <c r="F1215" t="str">
        <f>"proosa"</f>
        <v>proosa</v>
      </c>
      <c r="G1215" t="str">
        <f>" lapsed ja noored"</f>
        <v xml:space="preserve"> lapsed ja noored</v>
      </c>
      <c r="H1215" t="str">
        <f t="shared" si="96"/>
        <v>2021</v>
      </c>
      <c r="I1215" t="str">
        <f>"Loomaabi on teel!"</f>
        <v>Loomaabi on teel!</v>
      </c>
      <c r="J1215" t="str">
        <f>"Jaanits, Kadri"</f>
        <v>Jaanits, Kadri</v>
      </c>
      <c r="K1215" t="str">
        <f>"Rahva Raamat, Tallinn"</f>
        <v>Rahva Raamat, Tallinn</v>
      </c>
      <c r="L1215" t="str">
        <f>""</f>
        <v/>
      </c>
      <c r="M1215" t="str">
        <f>"9789916615706"</f>
        <v>9789916615706</v>
      </c>
    </row>
    <row r="1216" spans="1:13" ht="15">
      <c r="A1216" t="s">
        <v>140</v>
      </c>
      <c r="B1216" t="str">
        <f>"18432"</f>
        <v>18432</v>
      </c>
      <c r="C1216" t="str">
        <f>"2019"</f>
        <v>2019</v>
      </c>
      <c r="D1216" t="str">
        <f>"Hemulin kasvio"</f>
        <v>Hemulin kasvio</v>
      </c>
      <c r="E1216" t="str">
        <f t="shared" si="95"/>
        <v>viro</v>
      </c>
      <c r="F1216" t="str">
        <f>""</f>
        <v/>
      </c>
      <c r="G1216" t="str">
        <f>" lapsed ja noored"</f>
        <v xml:space="preserve"> lapsed ja noored</v>
      </c>
      <c r="H1216" t="str">
        <f t="shared" si="96"/>
        <v>2021</v>
      </c>
      <c r="I1216" t="str">
        <f>"Koduvana taimemapp"</f>
        <v>Koduvana taimemapp</v>
      </c>
      <c r="J1216" t="str">
        <f>"Henno, Kairit"</f>
        <v>Henno, Kairit</v>
      </c>
      <c r="K1216" t="str">
        <f>"Hea Lugu, Tallinn"</f>
        <v>Hea Lugu, Tallinn</v>
      </c>
      <c r="L1216" t="str">
        <f>""</f>
        <v/>
      </c>
      <c r="M1216" t="str">
        <f>"9789916646304"</f>
        <v>9789916646304</v>
      </c>
    </row>
    <row r="1217" spans="1:13" ht="15">
      <c r="A1217" t="s">
        <v>144</v>
      </c>
      <c r="B1217" t="str">
        <f>"19241"</f>
        <v>19241</v>
      </c>
      <c r="C1217" t="str">
        <f>"2002"</f>
        <v>2002</v>
      </c>
      <c r="D1217" t="str">
        <f>"Pennun kasvatus : pennusta kunnon koiraksi"</f>
        <v>Pennun kasvatus : pennusta kunnon koiraksi</v>
      </c>
      <c r="E1217" t="str">
        <f t="shared" si="95"/>
        <v>viro</v>
      </c>
      <c r="F1217" t="str">
        <f>""</f>
        <v/>
      </c>
      <c r="G1217" t="str">
        <f>"  täiskasvanud"</f>
        <v xml:space="preserve">  täiskasvanud</v>
      </c>
      <c r="H1217" t="str">
        <f t="shared" si="96"/>
        <v>2021</v>
      </c>
      <c r="I1217" t="str">
        <f>"Kutsika kasvatamine"</f>
        <v>Kutsika kasvatamine</v>
      </c>
      <c r="J1217" t="str">
        <f>"Suoninen, Anu"</f>
        <v>Suoninen, Anu</v>
      </c>
      <c r="K1217" t="str">
        <f>"Varrak, Tallinn"</f>
        <v>Varrak, Tallinn</v>
      </c>
      <c r="L1217" t="str">
        <f>""</f>
        <v/>
      </c>
      <c r="M1217" t="str">
        <f>"9789985316542 "</f>
        <v xml:space="preserve">9789985316542 </v>
      </c>
    </row>
    <row r="1218" spans="1:13" ht="15">
      <c r="A1218" t="s">
        <v>156</v>
      </c>
      <c r="B1218" t="str">
        <f>"17924"</f>
        <v>17924</v>
      </c>
      <c r="C1218" t="str">
        <f>"2019"</f>
        <v>2019</v>
      </c>
      <c r="D1218" t="str">
        <f>"Pienen hauen pyydystys"</f>
        <v>Pienen hauen pyydystys</v>
      </c>
      <c r="E1218" t="str">
        <f t="shared" si="95"/>
        <v>viro</v>
      </c>
      <c r="F1218" t="str">
        <f>"romaanid; proosa"</f>
        <v>romaanid; proosa</v>
      </c>
      <c r="G1218" t="str">
        <f>"  täiskasvanud"</f>
        <v xml:space="preserve">  täiskasvanud</v>
      </c>
      <c r="H1218" t="str">
        <f t="shared" si="96"/>
        <v>2021</v>
      </c>
      <c r="I1218" t="str">
        <f>"Väikese haugi püük"</f>
        <v>Väikese haugi püük</v>
      </c>
      <c r="J1218" t="str">
        <f>"Liivak, Sander"</f>
        <v>Liivak, Sander</v>
      </c>
      <c r="K1218" t="str">
        <f>"Hea Lugu, Tallinn"</f>
        <v>Hea Lugu, Tallinn</v>
      </c>
      <c r="L1218" t="str">
        <f>""</f>
        <v/>
      </c>
      <c r="M1218" t="str">
        <f>"9789916646120"</f>
        <v>9789916646120</v>
      </c>
    </row>
    <row r="1219" spans="1:13" ht="15">
      <c r="A1219" t="s">
        <v>184</v>
      </c>
      <c r="B1219" t="str">
        <f>"17933"</f>
        <v>17933</v>
      </c>
      <c r="C1219" t="str">
        <f>"2020"</f>
        <v>2020</v>
      </c>
      <c r="D1219" t="str">
        <f>"Piki ja pöljä päivä"</f>
        <v>Piki ja pöljä päivä</v>
      </c>
      <c r="E1219" t="str">
        <f t="shared" si="95"/>
        <v>viro</v>
      </c>
      <c r="F1219" t="str">
        <f>"pildiraamatud"</f>
        <v>pildiraamatud</v>
      </c>
      <c r="G1219" t="str">
        <f>" lapsed ja noored"</f>
        <v xml:space="preserve"> lapsed ja noored</v>
      </c>
      <c r="H1219" t="str">
        <f t="shared" si="96"/>
        <v>2021</v>
      </c>
      <c r="I1219" t="str">
        <f>"Popi ja pahur päev"</f>
        <v>Popi ja pahur päev</v>
      </c>
      <c r="J1219" t="str">
        <f>"Lagerspetz, Hille"</f>
        <v>Lagerspetz, Hille</v>
      </c>
      <c r="K1219" t="str">
        <f>"Helios, Tallinn"</f>
        <v>Helios, Tallinn</v>
      </c>
      <c r="L1219" t="str">
        <f>""</f>
        <v/>
      </c>
      <c r="M1219" t="str">
        <f>"978-9949-691-96-8"</f>
        <v>978-9949-691-96-8</v>
      </c>
    </row>
    <row r="1220" spans="1:13" ht="15">
      <c r="A1220" t="s">
        <v>200</v>
      </c>
      <c r="B1220" t="str">
        <f>"18221"</f>
        <v>18221</v>
      </c>
      <c r="C1220" t="str">
        <f>"2020"</f>
        <v>2020</v>
      </c>
      <c r="D1220" t="str">
        <f>"Rajamaa"</f>
        <v>Rajamaa</v>
      </c>
      <c r="E1220" t="str">
        <f t="shared" si="95"/>
        <v>viro</v>
      </c>
      <c r="F1220" t="str">
        <f>"romaanid; proosa"</f>
        <v>romaanid; proosa</v>
      </c>
      <c r="G1220" t="str">
        <f>"  täiskasvanud"</f>
        <v xml:space="preserve">  täiskasvanud</v>
      </c>
      <c r="H1220" t="str">
        <f t="shared" si="96"/>
        <v>2021</v>
      </c>
      <c r="I1220" t="str">
        <f>"Ääremaa"</f>
        <v>Ääremaa</v>
      </c>
      <c r="J1220" t="str">
        <f>"Tuulik, Mari"</f>
        <v>Tuulik, Mari</v>
      </c>
      <c r="K1220" t="str">
        <f>"Eesti Raamat, Tallinn"</f>
        <v>Eesti Raamat, Tallinn</v>
      </c>
      <c r="L1220" t="str">
        <f>""</f>
        <v/>
      </c>
      <c r="M1220" t="str">
        <f>"9789916122495"</f>
        <v>9789916122495</v>
      </c>
    </row>
    <row r="1221" spans="1:13" ht="15">
      <c r="A1221" t="s">
        <v>202</v>
      </c>
      <c r="B1221" t="str">
        <f>"18669"</f>
        <v>18669</v>
      </c>
      <c r="C1221" t="str">
        <f>"2010"</f>
        <v>2010</v>
      </c>
      <c r="D1221" t="str">
        <f>"Hurriganes"</f>
        <v>Hurriganes</v>
      </c>
      <c r="E1221" t="str">
        <f t="shared" si="95"/>
        <v>viro</v>
      </c>
      <c r="F1221" t="str">
        <f>""</f>
        <v/>
      </c>
      <c r="G1221" t="str">
        <f>"  täiskasvanud"</f>
        <v xml:space="preserve">  täiskasvanud</v>
      </c>
      <c r="H1221" t="str">
        <f t="shared" si="96"/>
        <v>2021</v>
      </c>
      <c r="I1221" t="str">
        <f>"Hurriganes"</f>
        <v>Hurriganes</v>
      </c>
      <c r="J1221" t="str">
        <f>"Salumets, Vello"</f>
        <v>Salumets, Vello</v>
      </c>
      <c r="K1221" t="str">
        <f>"SE&amp;JS, Tallinn"</f>
        <v>SE&amp;JS, Tallinn</v>
      </c>
      <c r="L1221" t="str">
        <f>""</f>
        <v/>
      </c>
      <c r="M1221" t="str">
        <f>"9789916963128"</f>
        <v>9789916963128</v>
      </c>
    </row>
    <row r="1222" spans="1:13" ht="15">
      <c r="A1222" t="s">
        <v>203</v>
      </c>
      <c r="B1222" t="str">
        <f>"17708"</f>
        <v>17708</v>
      </c>
      <c r="C1222" t="str">
        <f>"2015"</f>
        <v>2015</v>
      </c>
      <c r="D1222" t="str">
        <f>"Koira nimeltään kissa"</f>
        <v>Koira nimeltään kissa</v>
      </c>
      <c r="E1222" t="str">
        <f t="shared" si="95"/>
        <v>viro</v>
      </c>
      <c r="F1222" t="str">
        <f>"pildiraamatud"</f>
        <v>pildiraamatud</v>
      </c>
      <c r="G1222" t="str">
        <f>" lapsed ja noored"</f>
        <v xml:space="preserve"> lapsed ja noored</v>
      </c>
      <c r="H1222" t="str">
        <f t="shared" si="96"/>
        <v>2021</v>
      </c>
      <c r="I1222" t="str">
        <f>"Koer nimega Kass"</f>
        <v>Koer nimega Kass</v>
      </c>
      <c r="J1222" t="str">
        <f>"Kaus, Jan"</f>
        <v>Kaus, Jan</v>
      </c>
      <c r="K1222" t="str">
        <f>"Päike ja Pilv, Saue"</f>
        <v>Päike ja Pilv, Saue</v>
      </c>
      <c r="L1222" t="str">
        <f>""</f>
        <v/>
      </c>
      <c r="M1222" t="str">
        <f>"9789916630037"</f>
        <v>9789916630037</v>
      </c>
    </row>
    <row r="1223" spans="1:13" ht="15">
      <c r="A1223" t="s">
        <v>207</v>
      </c>
      <c r="B1223" t="str">
        <f>"17789"</f>
        <v>17789</v>
      </c>
      <c r="C1223" t="str">
        <f>"2019"</f>
        <v>2019</v>
      </c>
      <c r="D1223" t="str">
        <f>"Sisu, tahto, itsetunto : portaat itkupotkuraivareista aggression hallintaan"</f>
        <v>Sisu, tahto, itsetunto : portaat itkupotkuraivareista aggression hallintaan</v>
      </c>
      <c r="E1223" t="str">
        <f t="shared" si="95"/>
        <v>viro</v>
      </c>
      <c r="F1223" t="str">
        <f>""</f>
        <v/>
      </c>
      <c r="G1223" t="str">
        <f>"  täiskasvanud"</f>
        <v xml:space="preserve">  täiskasvanud</v>
      </c>
      <c r="H1223" t="str">
        <f t="shared" si="96"/>
        <v>2021</v>
      </c>
      <c r="I1223" t="str">
        <f>"Jonn, tahe, enesehinnang"</f>
        <v>Jonn, tahe, enesehinnang</v>
      </c>
      <c r="J1223" t="str">
        <f>"Tallo, Toomas"</f>
        <v>Tallo, Toomas</v>
      </c>
      <c r="K1223" t="str">
        <f>"Varrak, Tallinn"</f>
        <v>Varrak, Tallinn</v>
      </c>
      <c r="L1223" t="str">
        <f>""</f>
        <v/>
      </c>
      <c r="M1223" t="str">
        <f>"9789985351123"</f>
        <v>9789985351123</v>
      </c>
    </row>
    <row r="1224" spans="1:13" ht="15">
      <c r="A1224" t="s">
        <v>213</v>
      </c>
      <c r="B1224" t="str">
        <f>"18174"</f>
        <v>18174</v>
      </c>
      <c r="C1224" t="str">
        <f>"2020"</f>
        <v>2020</v>
      </c>
      <c r="D1224" t="str">
        <f>"Iceman : Kimin matkassa"</f>
        <v>Iceman : Kimin matkassa</v>
      </c>
      <c r="E1224" t="str">
        <f t="shared" si="95"/>
        <v>viro</v>
      </c>
      <c r="F1224" t="str">
        <f>""</f>
        <v/>
      </c>
      <c r="G1224" t="str">
        <f>"  täiskasvanud"</f>
        <v xml:space="preserve">  täiskasvanud</v>
      </c>
      <c r="H1224" t="str">
        <f t="shared" si="96"/>
        <v>2021</v>
      </c>
      <c r="I1224" t="str">
        <f>"Iceman : Kimi teekond"</f>
        <v>Iceman : Kimi teekond</v>
      </c>
      <c r="J1224" t="str">
        <f>"Liivak, Sander"</f>
        <v>Liivak, Sander</v>
      </c>
      <c r="K1224" t="str">
        <f>"Ajakirjade Kirjastus, Tallinn"</f>
        <v>Ajakirjade Kirjastus, Tallinn</v>
      </c>
      <c r="L1224" t="str">
        <f>""</f>
        <v/>
      </c>
      <c r="M1224" t="str">
        <f>"9789916634660"</f>
        <v>9789916634660</v>
      </c>
    </row>
    <row r="1225" spans="1:13" ht="15">
      <c r="A1225" t="s">
        <v>223</v>
      </c>
      <c r="B1225" t="str">
        <f>"18415"</f>
        <v>18415</v>
      </c>
      <c r="C1225" t="str">
        <f>""</f>
        <v/>
      </c>
      <c r="D1225" t="str">
        <f>"Tuhansien villasukkien maa"</f>
        <v>Tuhansien villasukkien maa</v>
      </c>
      <c r="E1225" t="str">
        <f t="shared" si="95"/>
        <v>viro</v>
      </c>
      <c r="F1225" t="str">
        <f>""</f>
        <v/>
      </c>
      <c r="G1225" t="str">
        <f>"  täiskasvanud"</f>
        <v xml:space="preserve">  täiskasvanud</v>
      </c>
      <c r="H1225" t="str">
        <f aca="true" t="shared" si="97" ref="H1225:H1256">"2021"</f>
        <v>2021</v>
      </c>
      <c r="I1225" t="str">
        <f>"Tuhandete villaste sokkide maa"</f>
        <v>Tuhandete villaste sokkide maa</v>
      </c>
      <c r="J1225" t="str">
        <f>"Plado, Helen"</f>
        <v>Plado, Helen</v>
      </c>
      <c r="K1225" t="str">
        <f>"Tänapäev, Tallinn"</f>
        <v>Tänapäev, Tallinn</v>
      </c>
      <c r="L1225" t="str">
        <f>""</f>
        <v/>
      </c>
      <c r="M1225" t="str">
        <f>"9789949859962"</f>
        <v>9789949859962</v>
      </c>
    </row>
    <row r="1226" spans="1:13" ht="15">
      <c r="A1226" t="s">
        <v>225</v>
      </c>
      <c r="B1226" t="str">
        <f>"18117"</f>
        <v>18117</v>
      </c>
      <c r="C1226" t="str">
        <f>"2020"</f>
        <v>2020</v>
      </c>
      <c r="D1226" t="str">
        <f>"Margarita"</f>
        <v>Margarita</v>
      </c>
      <c r="E1226" t="str">
        <f t="shared" si="95"/>
        <v>viro</v>
      </c>
      <c r="F1226" t="str">
        <f>"romaanid; proosa"</f>
        <v>romaanid; proosa</v>
      </c>
      <c r="G1226" t="str">
        <f>"  täiskasvanud"</f>
        <v xml:space="preserve">  täiskasvanud</v>
      </c>
      <c r="H1226" t="str">
        <f t="shared" si="97"/>
        <v>2021</v>
      </c>
      <c r="I1226" t="str">
        <f>"Margarita"</f>
        <v>Margarita</v>
      </c>
      <c r="J1226" t="str">
        <f>"Tallo, Toomas"</f>
        <v>Tallo, Toomas</v>
      </c>
      <c r="K1226" t="str">
        <f>"Ühinenud Ajakirjad, Tallinn"</f>
        <v>Ühinenud Ajakirjad, Tallinn</v>
      </c>
      <c r="L1226" t="str">
        <f>""</f>
        <v/>
      </c>
      <c r="M1226" t="str">
        <f>"ISBN 9789916634561"</f>
        <v>ISBN 9789916634561</v>
      </c>
    </row>
    <row r="1227" spans="1:13" ht="15">
      <c r="A1227" t="s">
        <v>226</v>
      </c>
      <c r="B1227" t="str">
        <f>"17372"</f>
        <v>17372</v>
      </c>
      <c r="C1227" t="str">
        <f>"2019"</f>
        <v>2019</v>
      </c>
      <c r="D1227" t="str">
        <f>"Muistoruoho"</f>
        <v>Muistoruoho</v>
      </c>
      <c r="E1227" t="str">
        <f t="shared" si="95"/>
        <v>viro</v>
      </c>
      <c r="F1227" t="str">
        <f>"romaanid; proosa"</f>
        <v>romaanid; proosa</v>
      </c>
      <c r="G1227" t="str">
        <f>"  täiskasvanud"</f>
        <v xml:space="preserve">  täiskasvanud</v>
      </c>
      <c r="H1227" t="str">
        <f t="shared" si="97"/>
        <v>2021</v>
      </c>
      <c r="I1227" t="str">
        <f>"Nõmmeliivatee"</f>
        <v>Nõmmeliivatee</v>
      </c>
      <c r="J1227" t="str">
        <f>"Saluri, Piret"</f>
        <v>Saluri, Piret</v>
      </c>
      <c r="K1227" t="str">
        <f>"Koolibri, Tallinn"</f>
        <v>Koolibri, Tallinn</v>
      </c>
      <c r="L1227" t="str">
        <f>""</f>
        <v/>
      </c>
      <c r="M1227" t="str">
        <f>"9789985046654"</f>
        <v>9789985046654</v>
      </c>
    </row>
    <row r="1228" spans="1:13" ht="15">
      <c r="A1228" t="s">
        <v>234</v>
      </c>
      <c r="B1228" t="str">
        <f>"19773"</f>
        <v>19773</v>
      </c>
      <c r="C1228" t="str">
        <f>"2021"</f>
        <v>2021</v>
      </c>
      <c r="D1228" t="str">
        <f>"Lempivillasukkia"</f>
        <v>Lempivillasukkia</v>
      </c>
      <c r="E1228" t="str">
        <f aca="true" t="shared" si="98" ref="E1228:E1291">"viro"</f>
        <v>viro</v>
      </c>
      <c r="F1228" t="str">
        <f>""</f>
        <v/>
      </c>
      <c r="G1228" t="str">
        <f>"  täiskasvanud"</f>
        <v xml:space="preserve">  täiskasvanud</v>
      </c>
      <c r="H1228" t="str">
        <f t="shared" si="97"/>
        <v>2021</v>
      </c>
      <c r="I1228" t="str">
        <f>"Armsaimad villased sokid"</f>
        <v>Armsaimad villased sokid</v>
      </c>
      <c r="J1228" t="str">
        <f>"Plado, Helen"</f>
        <v>Plado, Helen</v>
      </c>
      <c r="K1228" t="str">
        <f>"Tänapäev, Tallinn"</f>
        <v>Tänapäev, Tallinn</v>
      </c>
      <c r="L1228" t="str">
        <f>""</f>
        <v/>
      </c>
      <c r="M1228" t="str">
        <f>"9789916171097"</f>
        <v>9789916171097</v>
      </c>
    </row>
    <row r="1229" spans="1:13" ht="15">
      <c r="A1229" t="s">
        <v>247</v>
      </c>
      <c r="B1229" t="str">
        <f>"18543"</f>
        <v>18543</v>
      </c>
      <c r="C1229" t="str">
        <f>"2020"</f>
        <v>2020</v>
      </c>
      <c r="D1229" t="str">
        <f>"Mikä ötökkä?"</f>
        <v>Mikä ötökkä?</v>
      </c>
      <c r="E1229" t="str">
        <f t="shared" si="98"/>
        <v>viro</v>
      </c>
      <c r="F1229" t="str">
        <f>"pildiraamatud"</f>
        <v>pildiraamatud</v>
      </c>
      <c r="G1229" t="str">
        <f>" lapsed ja noored"</f>
        <v xml:space="preserve"> lapsed ja noored</v>
      </c>
      <c r="H1229" t="str">
        <f t="shared" si="97"/>
        <v>2021</v>
      </c>
      <c r="I1229" t="str">
        <f>"Mis mutukas?"</f>
        <v>Mis mutukas?</v>
      </c>
      <c r="J1229" t="str">
        <f>"Juursoo, Lauri"</f>
        <v>Juursoo, Lauri</v>
      </c>
      <c r="K1229" t="str">
        <f>"Elust Enesest, Tallinn"</f>
        <v>Elust Enesest, Tallinn</v>
      </c>
      <c r="L1229" t="str">
        <f>""</f>
        <v/>
      </c>
      <c r="M1229" t="str">
        <f>"9789949744138"</f>
        <v>9789949744138</v>
      </c>
    </row>
    <row r="1230" spans="1:13" ht="15">
      <c r="A1230" t="s">
        <v>270</v>
      </c>
      <c r="B1230" t="str">
        <f>"16943"</f>
        <v>16943</v>
      </c>
      <c r="C1230" t="str">
        <f>"2019"</f>
        <v>2019</v>
      </c>
      <c r="D1230" t="str">
        <f>"Ystäväni Natalia"</f>
        <v>Ystäväni Natalia</v>
      </c>
      <c r="E1230" t="str">
        <f t="shared" si="98"/>
        <v>viro</v>
      </c>
      <c r="F1230" t="str">
        <f>"romaanid; proosa"</f>
        <v>romaanid; proosa</v>
      </c>
      <c r="G1230" t="str">
        <f>"  täiskasvanud"</f>
        <v xml:space="preserve">  täiskasvanud</v>
      </c>
      <c r="H1230" t="str">
        <f t="shared" si="97"/>
        <v>2021</v>
      </c>
      <c r="I1230" t="str">
        <f>"Minu sõber Natalia"</f>
        <v>Minu sõber Natalia</v>
      </c>
      <c r="J1230" t="str">
        <f>"Jaanits, Kadri"</f>
        <v>Jaanits, Kadri</v>
      </c>
      <c r="K1230" t="str">
        <f>"Rahva Raamat, Tallinn"</f>
        <v>Rahva Raamat, Tallinn</v>
      </c>
      <c r="L1230" t="str">
        <f>""</f>
        <v/>
      </c>
      <c r="M1230" t="str">
        <f>"9789916615713"</f>
        <v>9789916615713</v>
      </c>
    </row>
    <row r="1231" spans="1:13" ht="15">
      <c r="A1231" t="s">
        <v>271</v>
      </c>
      <c r="B1231" t="str">
        <f>"18828"</f>
        <v>18828</v>
      </c>
      <c r="C1231" t="str">
        <f>""</f>
        <v/>
      </c>
      <c r="D1231" t="str">
        <f>"Toisinajattelijan päiväkirjasta ; Johdatus 1990-luvun ajatteluun ; Voisiko elämä voittaa - ja millä ehdoilla"</f>
        <v>Toisinajattelijan päiväkirjasta ; Johdatus 1990-luvun ajatteluun ; Voisiko elämä voittaa - ja millä ehdoilla</v>
      </c>
      <c r="E1231" t="str">
        <f t="shared" si="98"/>
        <v>viro</v>
      </c>
      <c r="F1231" t="str">
        <f>""</f>
        <v/>
      </c>
      <c r="G1231" t="str">
        <f>"  täiskasvanud"</f>
        <v xml:space="preserve">  täiskasvanud</v>
      </c>
      <c r="H1231" t="str">
        <f t="shared" si="97"/>
        <v>2021</v>
      </c>
      <c r="I1231" t="str">
        <f>"Teisitimõtleja märkmed"</f>
        <v>Teisitimõtleja märkmed</v>
      </c>
      <c r="J1231" t="str">
        <f>"Parts, Priit-Kalev"</f>
        <v>Parts, Priit-Kalev</v>
      </c>
      <c r="K1231" t="str">
        <f>"MTÜ Rahvusliku Ehituse Selts, Loodi"</f>
        <v>MTÜ Rahvusliku Ehituse Selts, Loodi</v>
      </c>
      <c r="L1231" t="str">
        <f>""</f>
        <v/>
      </c>
      <c r="M1231" t="str">
        <f>"9789916405949"</f>
        <v>9789916405949</v>
      </c>
    </row>
    <row r="1232" spans="1:13" ht="15">
      <c r="A1232" t="s">
        <v>309</v>
      </c>
      <c r="B1232" t="str">
        <f>"18724"</f>
        <v>18724</v>
      </c>
      <c r="C1232" t="str">
        <f>"2020"</f>
        <v>2020</v>
      </c>
      <c r="D1232" t="str">
        <f>"Tarja Halonen : erään aktivistin tarina"</f>
        <v>Tarja Halonen : erään aktivistin tarina</v>
      </c>
      <c r="E1232" t="str">
        <f t="shared" si="98"/>
        <v>viro</v>
      </c>
      <c r="F1232" t="str">
        <f>""</f>
        <v/>
      </c>
      <c r="G1232" t="str">
        <f>"  täiskasvanud"</f>
        <v xml:space="preserve">  täiskasvanud</v>
      </c>
      <c r="H1232" t="str">
        <f t="shared" si="97"/>
        <v>2021</v>
      </c>
      <c r="I1232" t="str">
        <f>"Tarja Halonen : ühe aktivisti lugu"</f>
        <v>Tarja Halonen : ühe aktivisti lugu</v>
      </c>
      <c r="J1232" t="str">
        <f>"Lepp, Andres"</f>
        <v>Lepp, Andres</v>
      </c>
      <c r="K1232" t="str">
        <f>"Sinisukk, Tallinn"</f>
        <v>Sinisukk, Tallinn</v>
      </c>
      <c r="L1232" t="str">
        <f>""</f>
        <v/>
      </c>
      <c r="M1232" t="str">
        <f>"9789949081783"</f>
        <v>9789949081783</v>
      </c>
    </row>
    <row r="1233" spans="1:13" ht="15">
      <c r="A1233" t="s">
        <v>317</v>
      </c>
      <c r="B1233" t="str">
        <f>"18446"</f>
        <v>18446</v>
      </c>
      <c r="C1233" t="str">
        <f>"2014"</f>
        <v>2014</v>
      </c>
      <c r="D1233" t="str">
        <f>"Million billion Santa Clauses"</f>
        <v>Million billion Santa Clauses</v>
      </c>
      <c r="E1233" t="str">
        <f t="shared" si="98"/>
        <v>viro</v>
      </c>
      <c r="F1233" t="str">
        <f>"pildiraamatud"</f>
        <v>pildiraamatud</v>
      </c>
      <c r="G1233" t="str">
        <f>" lapsed ja noored"</f>
        <v xml:space="preserve"> lapsed ja noored</v>
      </c>
      <c r="H1233" t="str">
        <f t="shared" si="97"/>
        <v>2021</v>
      </c>
      <c r="I1233" t="str">
        <f>"Miljon triljon jõuluvana"</f>
        <v>Miljon triljon jõuluvana</v>
      </c>
      <c r="J1233" t="str">
        <f>"Mõisnik, Mihkel"</f>
        <v>Mõisnik, Mihkel</v>
      </c>
      <c r="K1233" t="str">
        <f>"Tänapäev, Tallinn"</f>
        <v>Tänapäev, Tallinn</v>
      </c>
      <c r="L1233" t="str">
        <f>""</f>
        <v/>
      </c>
      <c r="M1233" t="str">
        <f>"9789916171158 "</f>
        <v xml:space="preserve">9789916171158 </v>
      </c>
    </row>
    <row r="1234" spans="1:13" ht="15">
      <c r="A1234" t="s">
        <v>358</v>
      </c>
      <c r="B1234" t="str">
        <f>"17814"</f>
        <v>17814</v>
      </c>
      <c r="C1234" t="str">
        <f>"2020"</f>
        <v>2020</v>
      </c>
      <c r="D1234" t="str">
        <f>"Suurin niistä on rakkaus : Kirsti Paakkasen tarina"</f>
        <v>Suurin niistä on rakkaus : Kirsti Paakkasen tarina</v>
      </c>
      <c r="E1234" t="str">
        <f t="shared" si="98"/>
        <v>viro</v>
      </c>
      <c r="F1234" t="str">
        <f>""</f>
        <v/>
      </c>
      <c r="G1234" t="str">
        <f>"  täiskasvanud"</f>
        <v xml:space="preserve">  täiskasvanud</v>
      </c>
      <c r="H1234" t="str">
        <f t="shared" si="97"/>
        <v>2021</v>
      </c>
      <c r="I1234" t="str">
        <f>"Suurim neist on armastus : Kirsti Paakkaneni lugu"</f>
        <v>Suurim neist on armastus : Kirsti Paakkaneni lugu</v>
      </c>
      <c r="J1234" t="str">
        <f>"Kooli, Piret"</f>
        <v>Kooli, Piret</v>
      </c>
      <c r="K1234" t="str">
        <f>"Helios, Tallinn"</f>
        <v>Helios, Tallinn</v>
      </c>
      <c r="L1234" t="str">
        <f>""</f>
        <v/>
      </c>
      <c r="M1234" t="str">
        <f>"9789949691937"</f>
        <v>9789949691937</v>
      </c>
    </row>
    <row r="1235" spans="1:13" ht="15">
      <c r="A1235" t="s">
        <v>365</v>
      </c>
      <c r="B1235" t="str">
        <f>"19168"</f>
        <v>19168</v>
      </c>
      <c r="C1235" t="str">
        <f>"2018"</f>
        <v>2018</v>
      </c>
      <c r="D1235" t="str">
        <f>"Finding Sisu : In search of courage, strength and happiness the Finnish way"</f>
        <v>Finding Sisu : In search of courage, strength and happiness the Finnish way</v>
      </c>
      <c r="E1235" t="str">
        <f t="shared" si="98"/>
        <v>viro</v>
      </c>
      <c r="F1235" t="str">
        <f>""</f>
        <v/>
      </c>
      <c r="G1235" t="str">
        <f>"  täiskasvanud"</f>
        <v xml:space="preserve">  täiskasvanud</v>
      </c>
      <c r="H1235" t="str">
        <f t="shared" si="97"/>
        <v>2021</v>
      </c>
      <c r="I1235" t="str">
        <f>"Leides sisu"</f>
        <v>Leides sisu</v>
      </c>
      <c r="J1235" t="str">
        <f>"Pulver, Mario "</f>
        <v xml:space="preserve">Pulver, Mario </v>
      </c>
      <c r="K1235" t="str">
        <f>"Rahva Raamat, Tallinn"</f>
        <v>Rahva Raamat, Tallinn</v>
      </c>
      <c r="L1235" t="str">
        <f>""</f>
        <v/>
      </c>
      <c r="M1235" t="str">
        <f>"9789916140031 "</f>
        <v xml:space="preserve">9789916140031 </v>
      </c>
    </row>
    <row r="1236" spans="1:13" ht="15">
      <c r="A1236" t="s">
        <v>367</v>
      </c>
      <c r="B1236" t="str">
        <f>"18511"</f>
        <v>18511</v>
      </c>
      <c r="C1236" t="str">
        <f>"2021"</f>
        <v>2021</v>
      </c>
      <c r="D1236" t="str">
        <f>"Ella ja kaverit etäkoulussa"</f>
        <v>Ella ja kaverit etäkoulussa</v>
      </c>
      <c r="E1236" t="str">
        <f t="shared" si="98"/>
        <v>viro</v>
      </c>
      <c r="F1236" t="str">
        <f>"proosa"</f>
        <v>proosa</v>
      </c>
      <c r="G1236" t="str">
        <f>" lapsed ja noored"</f>
        <v xml:space="preserve"> lapsed ja noored</v>
      </c>
      <c r="H1236" t="str">
        <f t="shared" si="97"/>
        <v>2021</v>
      </c>
      <c r="I1236" t="str">
        <f>"Ella ja distants+ sõbrad distantsõppel"</f>
        <v>Ella ja distants+ sõbrad distantsõppel</v>
      </c>
      <c r="J1236" t="str">
        <f>"Haasma, Kadi-Riin"</f>
        <v>Haasma, Kadi-Riin</v>
      </c>
      <c r="K1236" t="str">
        <f>"Hea Lugu, Tallinn"</f>
        <v>Hea Lugu, Tallinn</v>
      </c>
      <c r="L1236" t="str">
        <f>""</f>
        <v/>
      </c>
      <c r="M1236" t="str">
        <f>"9789916646250"</f>
        <v>9789916646250</v>
      </c>
    </row>
    <row r="1237" spans="1:13" ht="15">
      <c r="A1237" t="s">
        <v>371</v>
      </c>
      <c r="B1237" t="str">
        <f>"18155"</f>
        <v>18155</v>
      </c>
      <c r="C1237" t="str">
        <f>"2020"</f>
        <v>2020</v>
      </c>
      <c r="D1237" t="str">
        <f>"Muistan sinua rakkaudella"</f>
        <v>Muistan sinua rakkaudella</v>
      </c>
      <c r="E1237" t="str">
        <f t="shared" si="98"/>
        <v>viro</v>
      </c>
      <c r="F1237" t="str">
        <f>"pildiraamatud"</f>
        <v>pildiraamatud</v>
      </c>
      <c r="G1237" t="str">
        <f>" lapsed ja noored"</f>
        <v xml:space="preserve"> lapsed ja noored</v>
      </c>
      <c r="H1237" t="str">
        <f t="shared" si="97"/>
        <v>2021</v>
      </c>
      <c r="I1237" t="str">
        <f>"Hoian sind südames"</f>
        <v>Hoian sind südames</v>
      </c>
      <c r="J1237" t="str">
        <f>"Leek, Ave"</f>
        <v>Leek, Ave</v>
      </c>
      <c r="K1237" t="str">
        <f>"Toledo kirjastus, Tartu"</f>
        <v>Toledo kirjastus, Tartu</v>
      </c>
      <c r="L1237" t="str">
        <f>""</f>
        <v/>
      </c>
      <c r="M1237" t="str">
        <f>"978-9949-7460-8-8-1"</f>
        <v>978-9949-7460-8-8-1</v>
      </c>
    </row>
    <row r="1238" spans="1:13" ht="15">
      <c r="A1238" t="s">
        <v>382</v>
      </c>
      <c r="B1238" t="str">
        <f>"17857"</f>
        <v>17857</v>
      </c>
      <c r="C1238" t="str">
        <f>"2020"</f>
        <v>2020</v>
      </c>
      <c r="D1238" t="str">
        <f>"Maailman kaunein sana"</f>
        <v>Maailman kaunein sana</v>
      </c>
      <c r="E1238" t="str">
        <f t="shared" si="98"/>
        <v>viro</v>
      </c>
      <c r="F1238" t="str">
        <f>"romaanid; proosa"</f>
        <v>romaanid; proosa</v>
      </c>
      <c r="G1238" t="str">
        <f>"  täiskasvanud"</f>
        <v xml:space="preserve">  täiskasvanud</v>
      </c>
      <c r="H1238" t="str">
        <f t="shared" si="97"/>
        <v>2021</v>
      </c>
      <c r="I1238" t="str">
        <f>"Maailma kauneim sõna"</f>
        <v>Maailma kauneim sõna</v>
      </c>
      <c r="J1238" t="str">
        <f>"Aimla-Laid, Triin"</f>
        <v>Aimla-Laid, Triin</v>
      </c>
      <c r="K1238" t="str">
        <f>"Eesti Raamat, Tallinn"</f>
        <v>Eesti Raamat, Tallinn</v>
      </c>
      <c r="L1238" t="str">
        <f>""</f>
        <v/>
      </c>
      <c r="M1238" t="str">
        <f>"9789916121252"</f>
        <v>9789916121252</v>
      </c>
    </row>
    <row r="1239" spans="1:13" ht="15">
      <c r="A1239" t="s">
        <v>383</v>
      </c>
      <c r="B1239" t="str">
        <f>"17831"</f>
        <v>17831</v>
      </c>
      <c r="C1239" t="str">
        <f>"2020"</f>
        <v>2020</v>
      </c>
      <c r="D1239" t="str">
        <f>"Historian jännät naiset"</f>
        <v>Historian jännät naiset</v>
      </c>
      <c r="E1239" t="str">
        <f t="shared" si="98"/>
        <v>viro</v>
      </c>
      <c r="F1239" t="str">
        <f>""</f>
        <v/>
      </c>
      <c r="G1239" t="str">
        <f>"  täiskasvanud"</f>
        <v xml:space="preserve">  täiskasvanud</v>
      </c>
      <c r="H1239" t="str">
        <f t="shared" si="97"/>
        <v>2021</v>
      </c>
      <c r="I1239" t="str">
        <f>"Erakordsed naised "</f>
        <v xml:space="preserve">Erakordsed naised </v>
      </c>
      <c r="J1239" t="str">
        <f>"Hõbemägi, Toomas"</f>
        <v>Hõbemägi, Toomas</v>
      </c>
      <c r="K1239" t="str">
        <f>"Äripäev, Tallinn"</f>
        <v>Äripäev, Tallinn</v>
      </c>
      <c r="L1239" t="str">
        <f>""</f>
        <v/>
      </c>
      <c r="M1239" t="str">
        <f>"9789916635360"</f>
        <v>9789916635360</v>
      </c>
    </row>
    <row r="1240" spans="1:13" ht="15">
      <c r="A1240" t="s">
        <v>384</v>
      </c>
      <c r="B1240" t="str">
        <f>"18416"</f>
        <v>18416</v>
      </c>
      <c r="C1240" t="str">
        <f>"2020"</f>
        <v>2020</v>
      </c>
      <c r="D1240" t="str">
        <f>"Valmenna itsesi kohti terveyttä : lääkärin tarina masennuksesta selviämisestä"</f>
        <v>Valmenna itsesi kohti terveyttä : lääkärin tarina masennuksesta selviämisestä</v>
      </c>
      <c r="E1240" t="str">
        <f t="shared" si="98"/>
        <v>viro</v>
      </c>
      <c r="F1240" t="str">
        <f>""</f>
        <v/>
      </c>
      <c r="G1240" t="str">
        <f>"  täiskasvanud"</f>
        <v xml:space="preserve">  täiskasvanud</v>
      </c>
      <c r="H1240" t="str">
        <f t="shared" si="97"/>
        <v>2021</v>
      </c>
      <c r="I1240" t="str">
        <f>"Kuidas ma võitsin depressiooni"</f>
        <v>Kuidas ma võitsin depressiooni</v>
      </c>
      <c r="J1240" t="str">
        <f>"Raudvere, Koidu"</f>
        <v>Raudvere, Koidu</v>
      </c>
      <c r="K1240" t="str">
        <f>"Pilgrim, Tallinn"</f>
        <v>Pilgrim, Tallinn</v>
      </c>
      <c r="L1240" t="str">
        <f>""</f>
        <v/>
      </c>
      <c r="M1240" t="str">
        <f>"9789949099504"</f>
        <v>9789949099504</v>
      </c>
    </row>
    <row r="1241" spans="1:13" ht="15">
      <c r="A1241" t="s">
        <v>388</v>
      </c>
      <c r="B1241" t="str">
        <f>"17975"</f>
        <v>17975</v>
      </c>
      <c r="C1241" t="str">
        <f>"2020"</f>
        <v>2020</v>
      </c>
      <c r="D1241" t="str">
        <f>"Radio Popov"</f>
        <v>Radio Popov</v>
      </c>
      <c r="E1241" t="str">
        <f t="shared" si="98"/>
        <v>viro</v>
      </c>
      <c r="F1241" t="str">
        <f>"romaanid; proosa"</f>
        <v>romaanid; proosa</v>
      </c>
      <c r="G1241" t="str">
        <f>" lapsed ja noored"</f>
        <v xml:space="preserve"> lapsed ja noored</v>
      </c>
      <c r="H1241" t="str">
        <f t="shared" si="97"/>
        <v>2021</v>
      </c>
      <c r="I1241" t="str">
        <f>"Raadio Popov"</f>
        <v>Raadio Popov</v>
      </c>
      <c r="J1241" t="str">
        <f>"Tael, Triin"</f>
        <v>Tael, Triin</v>
      </c>
      <c r="K1241" t="str">
        <f>"Ühinenud Ajakirjad, Tallinn"</f>
        <v>Ühinenud Ajakirjad, Tallinn</v>
      </c>
      <c r="L1241" t="str">
        <f>""</f>
        <v/>
      </c>
      <c r="M1241" t="str">
        <f>"9789916634585"</f>
        <v>9789916634585</v>
      </c>
    </row>
    <row r="1242" spans="1:13" ht="15">
      <c r="A1242" t="s">
        <v>389</v>
      </c>
      <c r="B1242" t="str">
        <f>"17739"</f>
        <v>17739</v>
      </c>
      <c r="C1242" t="str">
        <f>"2011"</f>
        <v>2011</v>
      </c>
      <c r="D1242" t="str">
        <f>"Operaatio Hokki : Päämajan vaiettu kaukopartio"</f>
        <v>Operaatio Hokki : Päämajan vaiettu kaukopartio</v>
      </c>
      <c r="E1242" t="str">
        <f t="shared" si="98"/>
        <v>viro</v>
      </c>
      <c r="F1242" t="str">
        <f>""</f>
        <v/>
      </c>
      <c r="G1242" t="str">
        <f>"  täiskasvanud"</f>
        <v xml:space="preserve">  täiskasvanud</v>
      </c>
      <c r="H1242" t="str">
        <f t="shared" si="97"/>
        <v>2021</v>
      </c>
      <c r="I1242" t="str">
        <f>"Operatsioon Hokki : kaugluureretk, mille peakorter maha vaikis"</f>
        <v>Operatsioon Hokki : kaugluureretk, mille peakorter maha vaikis</v>
      </c>
      <c r="J1242" t="str">
        <f>"Jaanits, Kadri"</f>
        <v>Jaanits, Kadri</v>
      </c>
      <c r="K1242" t="str">
        <f>"Äripäev, Tallinn"</f>
        <v>Äripäev, Tallinn</v>
      </c>
      <c r="L1242" t="str">
        <f>""</f>
        <v/>
      </c>
      <c r="M1242" t="str">
        <f>"978-9916-635-14-8"</f>
        <v>978-9916-635-14-8</v>
      </c>
    </row>
    <row r="1243" spans="1:13" ht="15">
      <c r="A1243" t="s">
        <v>427</v>
      </c>
      <c r="B1243" t="str">
        <f>"17233"</f>
        <v>17233</v>
      </c>
      <c r="C1243" t="str">
        <f>"2019"</f>
        <v>2019</v>
      </c>
      <c r="D1243" t="str">
        <f>"Villi itä : Suomen heimosodat ja Itä-Euroopan murros 1918-1921"</f>
        <v>Villi itä : Suomen heimosodat ja Itä-Euroopan murros 1918-1921</v>
      </c>
      <c r="E1243" t="str">
        <f t="shared" si="98"/>
        <v>viro</v>
      </c>
      <c r="F1243" t="str">
        <f>""</f>
        <v/>
      </c>
      <c r="G1243" t="str">
        <f>"  täiskasvanud"</f>
        <v xml:space="preserve">  täiskasvanud</v>
      </c>
      <c r="H1243" t="str">
        <f t="shared" si="97"/>
        <v>2021</v>
      </c>
      <c r="I1243" t="str">
        <f>"Metsik ida : Soome hõimusõjad ja Ida-Euroopa murrang 1918-1921"</f>
        <v>Metsik ida : Soome hõimusõjad ja Ida-Euroopa murrang 1918-1921</v>
      </c>
      <c r="J1243" t="str">
        <f>"Ots, Loone"</f>
        <v>Ots, Loone</v>
      </c>
      <c r="K1243" t="str">
        <f>"Rahva Raamat, Tallinn"</f>
        <v>Rahva Raamat, Tallinn</v>
      </c>
      <c r="L1243" t="str">
        <f>""</f>
        <v/>
      </c>
      <c r="M1243" t="str">
        <f>"9789916615515"</f>
        <v>9789916615515</v>
      </c>
    </row>
    <row r="1244" spans="1:13" ht="15">
      <c r="A1244" t="s">
        <v>428</v>
      </c>
      <c r="B1244" t="str">
        <f>"18799"</f>
        <v>18799</v>
      </c>
      <c r="C1244" t="str">
        <f>"2021"</f>
        <v>2021</v>
      </c>
      <c r="D1244" t="str">
        <f>"Pähkinöitä omasta puutarhasta : opas suomalaisten pähkinöiden kasvattamiseen"</f>
        <v>Pähkinöitä omasta puutarhasta : opas suomalaisten pähkinöiden kasvattamiseen</v>
      </c>
      <c r="E1244" t="str">
        <f t="shared" si="98"/>
        <v>viro</v>
      </c>
      <c r="F1244" t="str">
        <f>""</f>
        <v/>
      </c>
      <c r="G1244" t="str">
        <f>"  täiskasvanud"</f>
        <v xml:space="preserve">  täiskasvanud</v>
      </c>
      <c r="H1244" t="str">
        <f t="shared" si="97"/>
        <v>2021</v>
      </c>
      <c r="I1244" t="str">
        <f>"Pähkleid oma aiast"</f>
        <v>Pähkleid oma aiast</v>
      </c>
      <c r="J1244" t="str">
        <f>"Henno, Kairit"</f>
        <v>Henno, Kairit</v>
      </c>
      <c r="K1244" t="str">
        <f>"Hea Lugu, Tallinn"</f>
        <v>Hea Lugu, Tallinn</v>
      </c>
      <c r="L1244" t="str">
        <f>""</f>
        <v/>
      </c>
      <c r="M1244" t="str">
        <f>"9789916646403"</f>
        <v>9789916646403</v>
      </c>
    </row>
    <row r="1245" spans="1:13" ht="15">
      <c r="A1245" t="s">
        <v>442</v>
      </c>
      <c r="B1245" t="str">
        <f>"18931"</f>
        <v>18931</v>
      </c>
      <c r="C1245" t="str">
        <f>"1936"</f>
        <v>1936</v>
      </c>
      <c r="D1245" t="str">
        <f>"Katrina"</f>
        <v>Katrina</v>
      </c>
      <c r="E1245" t="str">
        <f t="shared" si="98"/>
        <v>viro</v>
      </c>
      <c r="F1245" t="str">
        <f>"romaanid; proosa"</f>
        <v>romaanid; proosa</v>
      </c>
      <c r="G1245" t="str">
        <f>"  täiskasvanud"</f>
        <v xml:space="preserve">  täiskasvanud</v>
      </c>
      <c r="H1245" t="str">
        <f t="shared" si="97"/>
        <v>2021</v>
      </c>
      <c r="I1245" t="str">
        <f>"Katrina"</f>
        <v>Katrina</v>
      </c>
      <c r="J1245" t="str">
        <f>"Haliste, Emma Rosalinda"</f>
        <v>Haliste, Emma Rosalinda</v>
      </c>
      <c r="K1245" t="str">
        <f>"Eesti Raamat, Tallinn"</f>
        <v>Eesti Raamat, Tallinn</v>
      </c>
      <c r="L1245" t="str">
        <f>"3. p."</f>
        <v>3. p.</v>
      </c>
      <c r="M1245" t="str">
        <f>"9789916122679"</f>
        <v>9789916122679</v>
      </c>
    </row>
    <row r="1246" spans="1:13" ht="15">
      <c r="A1246" t="s">
        <v>463</v>
      </c>
      <c r="B1246" t="str">
        <f>"16964"</f>
        <v>16964</v>
      </c>
      <c r="C1246" t="str">
        <f>"2018"</f>
        <v>2018</v>
      </c>
      <c r="D1246" t="str">
        <f>"Paranoidi optimisti : näin johdin Nokiaa murroksessa"</f>
        <v>Paranoidi optimisti : näin johdin Nokiaa murroksessa</v>
      </c>
      <c r="E1246" t="str">
        <f t="shared" si="98"/>
        <v>viro</v>
      </c>
      <c r="F1246" t="str">
        <f>""</f>
        <v/>
      </c>
      <c r="G1246" t="str">
        <f>"  täiskasvanud"</f>
        <v xml:space="preserve">  täiskasvanud</v>
      </c>
      <c r="H1246" t="str">
        <f t="shared" si="97"/>
        <v>2021</v>
      </c>
      <c r="I1246" t="str">
        <f>"Paranoiline optimist"</f>
        <v>Paranoiline optimist</v>
      </c>
      <c r="J1246" t="str">
        <f>"Aimla-Laid, Triin"</f>
        <v>Aimla-Laid, Triin</v>
      </c>
      <c r="K1246" t="str">
        <f>"Pegasus, Tallinn"</f>
        <v>Pegasus, Tallinn</v>
      </c>
      <c r="L1246" t="str">
        <f>""</f>
        <v/>
      </c>
      <c r="M1246" t="str">
        <f>"9789916613733"</f>
        <v>9789916613733</v>
      </c>
    </row>
    <row r="1247" spans="1:13" ht="15">
      <c r="A1247" t="s">
        <v>467</v>
      </c>
      <c r="B1247" t="str">
        <f>"17233"</f>
        <v>17233</v>
      </c>
      <c r="C1247" t="str">
        <f>"2019"</f>
        <v>2019</v>
      </c>
      <c r="D1247" t="str">
        <f>"Villi itä : Suomen heimosodat ja Itä-Euroopan murros 1918-1921"</f>
        <v>Villi itä : Suomen heimosodat ja Itä-Euroopan murros 1918-1921</v>
      </c>
      <c r="E1247" t="str">
        <f t="shared" si="98"/>
        <v>viro</v>
      </c>
      <c r="F1247" t="str">
        <f>""</f>
        <v/>
      </c>
      <c r="G1247" t="str">
        <f>"  täiskasvanud"</f>
        <v xml:space="preserve">  täiskasvanud</v>
      </c>
      <c r="H1247" t="str">
        <f t="shared" si="97"/>
        <v>2021</v>
      </c>
      <c r="I1247" t="str">
        <f>"Metsik ida : Soome hõimusõjad ja Ida-Euroopa murrang 1918-1921"</f>
        <v>Metsik ida : Soome hõimusõjad ja Ida-Euroopa murrang 1918-1921</v>
      </c>
      <c r="J1247" t="str">
        <f>"Ots, Loone"</f>
        <v>Ots, Loone</v>
      </c>
      <c r="K1247" t="str">
        <f>"Rahva Raamat, Tallinn"</f>
        <v>Rahva Raamat, Tallinn</v>
      </c>
      <c r="L1247" t="str">
        <f>""</f>
        <v/>
      </c>
      <c r="M1247" t="str">
        <f>"9789916615515"</f>
        <v>9789916615515</v>
      </c>
    </row>
    <row r="1248" spans="1:13" ht="15">
      <c r="A1248" t="s">
        <v>475</v>
      </c>
      <c r="B1248" t="str">
        <f>"18375"</f>
        <v>18375</v>
      </c>
      <c r="C1248" t="str">
        <f>"2020"</f>
        <v>2020</v>
      </c>
      <c r="D1248" t="str">
        <f>"Jari-Matti Latvala : elämän erikoiskoe"</f>
        <v>Jari-Matti Latvala : elämän erikoiskoe</v>
      </c>
      <c r="E1248" t="str">
        <f t="shared" si="98"/>
        <v>viro</v>
      </c>
      <c r="F1248" t="str">
        <f>""</f>
        <v/>
      </c>
      <c r="G1248" t="str">
        <f>"  täiskasvanud"</f>
        <v xml:space="preserve">  täiskasvanud</v>
      </c>
      <c r="H1248" t="str">
        <f t="shared" si="97"/>
        <v>2021</v>
      </c>
      <c r="I1248" t="str">
        <f>"Jari-Matti Latvala : Elukestev kiiruskatse"</f>
        <v>Jari-Matti Latvala : Elukestev kiiruskatse</v>
      </c>
      <c r="J1248" t="str">
        <f>"Lepp, Andres"</f>
        <v>Lepp, Andres</v>
      </c>
      <c r="K1248" t="str">
        <f>"Sinisukk, Tallinn"</f>
        <v>Sinisukk, Tallinn</v>
      </c>
      <c r="L1248" t="str">
        <f>""</f>
        <v/>
      </c>
      <c r="M1248" t="str">
        <f>"978-9949-08-149-3"</f>
        <v>978-9949-08-149-3</v>
      </c>
    </row>
    <row r="1249" spans="1:13" ht="15">
      <c r="A1249" t="s">
        <v>476</v>
      </c>
      <c r="B1249" t="str">
        <f>"18155"</f>
        <v>18155</v>
      </c>
      <c r="C1249" t="str">
        <f>"2020"</f>
        <v>2020</v>
      </c>
      <c r="D1249" t="str">
        <f>"Muistan sinua rakkaudella"</f>
        <v>Muistan sinua rakkaudella</v>
      </c>
      <c r="E1249" t="str">
        <f t="shared" si="98"/>
        <v>viro</v>
      </c>
      <c r="F1249" t="str">
        <f>"pildiraamatud"</f>
        <v>pildiraamatud</v>
      </c>
      <c r="G1249" t="str">
        <f>" lapsed ja noored"</f>
        <v xml:space="preserve"> lapsed ja noored</v>
      </c>
      <c r="H1249" t="str">
        <f t="shared" si="97"/>
        <v>2021</v>
      </c>
      <c r="I1249" t="str">
        <f>"Hoian sind südames"</f>
        <v>Hoian sind südames</v>
      </c>
      <c r="J1249" t="str">
        <f>"Leek, Ave"</f>
        <v>Leek, Ave</v>
      </c>
      <c r="K1249" t="str">
        <f>"Toledo kirjastus, Tartu"</f>
        <v>Toledo kirjastus, Tartu</v>
      </c>
      <c r="L1249" t="str">
        <f>""</f>
        <v/>
      </c>
      <c r="M1249" t="str">
        <f>"978-9949-7460-8-8-1"</f>
        <v>978-9949-7460-8-8-1</v>
      </c>
    </row>
    <row r="1250" spans="1:13" ht="15">
      <c r="A1250" t="s">
        <v>480</v>
      </c>
      <c r="B1250" t="str">
        <f>"18669"</f>
        <v>18669</v>
      </c>
      <c r="C1250" t="str">
        <f>"2010"</f>
        <v>2010</v>
      </c>
      <c r="D1250" t="str">
        <f>"Hurriganes"</f>
        <v>Hurriganes</v>
      </c>
      <c r="E1250" t="str">
        <f t="shared" si="98"/>
        <v>viro</v>
      </c>
      <c r="F1250" t="str">
        <f>""</f>
        <v/>
      </c>
      <c r="G1250" t="str">
        <f>"  täiskasvanud"</f>
        <v xml:space="preserve">  täiskasvanud</v>
      </c>
      <c r="H1250" t="str">
        <f t="shared" si="97"/>
        <v>2021</v>
      </c>
      <c r="I1250" t="str">
        <f>"Hurriganes"</f>
        <v>Hurriganes</v>
      </c>
      <c r="J1250" t="str">
        <f>"Salumets, Vello"</f>
        <v>Salumets, Vello</v>
      </c>
      <c r="K1250" t="str">
        <f>"SE&amp;JS, Tallinn"</f>
        <v>SE&amp;JS, Tallinn</v>
      </c>
      <c r="L1250" t="str">
        <f>""</f>
        <v/>
      </c>
      <c r="M1250" t="str">
        <f>"9789916963128"</f>
        <v>9789916963128</v>
      </c>
    </row>
    <row r="1251" spans="1:13" ht="15">
      <c r="A1251" t="s">
        <v>488</v>
      </c>
      <c r="B1251" t="str">
        <f>"18155"</f>
        <v>18155</v>
      </c>
      <c r="C1251" t="str">
        <f>"2020"</f>
        <v>2020</v>
      </c>
      <c r="D1251" t="str">
        <f>"Muistan sinua rakkaudella"</f>
        <v>Muistan sinua rakkaudella</v>
      </c>
      <c r="E1251" t="str">
        <f t="shared" si="98"/>
        <v>viro</v>
      </c>
      <c r="F1251" t="str">
        <f>"pildiraamatud"</f>
        <v>pildiraamatud</v>
      </c>
      <c r="G1251" t="str">
        <f>" lapsed ja noored"</f>
        <v xml:space="preserve"> lapsed ja noored</v>
      </c>
      <c r="H1251" t="str">
        <f t="shared" si="97"/>
        <v>2021</v>
      </c>
      <c r="I1251" t="str">
        <f>"Hoian sind südames"</f>
        <v>Hoian sind südames</v>
      </c>
      <c r="J1251" t="str">
        <f>"Leek, Ave"</f>
        <v>Leek, Ave</v>
      </c>
      <c r="K1251" t="str">
        <f>"Toledo kirjastus, Tartu"</f>
        <v>Toledo kirjastus, Tartu</v>
      </c>
      <c r="L1251" t="str">
        <f>""</f>
        <v/>
      </c>
      <c r="M1251" t="str">
        <f>"978-9949-7460-8-8-1"</f>
        <v>978-9949-7460-8-8-1</v>
      </c>
    </row>
    <row r="1252" spans="1:13" ht="15">
      <c r="A1252" t="s">
        <v>517</v>
      </c>
      <c r="B1252" t="str">
        <f>"18064"</f>
        <v>18064</v>
      </c>
      <c r="C1252" t="str">
        <f>"2020"</f>
        <v>2020</v>
      </c>
      <c r="D1252" t="str">
        <f>"Tatu ja Patu : kovaa menoa kiskoilla"</f>
        <v>Tatu ja Patu : kovaa menoa kiskoilla</v>
      </c>
      <c r="E1252" t="str">
        <f t="shared" si="98"/>
        <v>viro</v>
      </c>
      <c r="F1252" t="str">
        <f>"pildiraamatud"</f>
        <v>pildiraamatud</v>
      </c>
      <c r="G1252" t="str">
        <f>" lapsed ja noored"</f>
        <v xml:space="preserve"> lapsed ja noored</v>
      </c>
      <c r="H1252" t="str">
        <f t="shared" si="97"/>
        <v>2021</v>
      </c>
      <c r="I1252" t="str">
        <f>"Teedu ja Peedu raju rongisõit"</f>
        <v>Teedu ja Peedu raju rongisõit</v>
      </c>
      <c r="J1252" t="str">
        <f>"Tael, Triin"</f>
        <v>Tael, Triin</v>
      </c>
      <c r="K1252" t="str">
        <f>"Hea Lugu, Tallinn"</f>
        <v>Hea Lugu, Tallinn</v>
      </c>
      <c r="L1252" t="str">
        <f>""</f>
        <v/>
      </c>
      <c r="M1252" t="str">
        <f>"9789916601907"</f>
        <v>9789916601907</v>
      </c>
    </row>
    <row r="1253" spans="1:13" ht="15">
      <c r="A1253" t="s">
        <v>517</v>
      </c>
      <c r="B1253" t="str">
        <f>"18631"</f>
        <v>18631</v>
      </c>
      <c r="C1253" t="str">
        <f>"2013"</f>
        <v>2013</v>
      </c>
      <c r="D1253" t="str">
        <f>"Tatun ja Patun kummat keksinnöt kautta aikojen"</f>
        <v>Tatun ja Patun kummat keksinnöt kautta aikojen</v>
      </c>
      <c r="E1253" t="str">
        <f t="shared" si="98"/>
        <v>viro</v>
      </c>
      <c r="F1253" t="str">
        <f>"pildiraamatud"</f>
        <v>pildiraamatud</v>
      </c>
      <c r="G1253" t="str">
        <f>" lapsed ja noored"</f>
        <v xml:space="preserve"> lapsed ja noored</v>
      </c>
      <c r="H1253" t="str">
        <f t="shared" si="97"/>
        <v>2021</v>
      </c>
      <c r="I1253" t="str">
        <f>"Teedu ja Peedu veidrad leiutised läbi aegade "</f>
        <v xml:space="preserve">Teedu ja Peedu veidrad leiutised läbi aegade </v>
      </c>
      <c r="J1253" t="str">
        <f>"Tael, Triin"</f>
        <v>Tael, Triin</v>
      </c>
      <c r="K1253" t="str">
        <f>"Hea Lugu, Tallinn"</f>
        <v>Hea Lugu, Tallinn</v>
      </c>
      <c r="L1253" t="str">
        <f>""</f>
        <v/>
      </c>
      <c r="M1253" t="str">
        <f>"9789916646540 "</f>
        <v xml:space="preserve">9789916646540 </v>
      </c>
    </row>
    <row r="1254" spans="1:13" ht="15">
      <c r="A1254" t="s">
        <v>518</v>
      </c>
      <c r="B1254" t="str">
        <f>"18248"</f>
        <v>18248</v>
      </c>
      <c r="C1254" t="str">
        <f>"2021"</f>
        <v>2021</v>
      </c>
      <c r="D1254" t="str">
        <f>"Agnes ja huvilan salaisuus"</f>
        <v>Agnes ja huvilan salaisuus</v>
      </c>
      <c r="E1254" t="str">
        <f t="shared" si="98"/>
        <v>viro</v>
      </c>
      <c r="F1254" t="str">
        <f>"romaanid; proosa"</f>
        <v>romaanid; proosa</v>
      </c>
      <c r="G1254" t="str">
        <f>" lapsed ja noored"</f>
        <v xml:space="preserve"> lapsed ja noored</v>
      </c>
      <c r="H1254" t="str">
        <f t="shared" si="97"/>
        <v>2021</v>
      </c>
      <c r="I1254" t="str">
        <f>"Agnes ja villa saladus"</f>
        <v>Agnes ja villa saladus</v>
      </c>
      <c r="J1254" t="str">
        <f>"Lemendik, Helena"</f>
        <v>Lemendik, Helena</v>
      </c>
      <c r="K1254" t="str">
        <f>"Eesti Raamat, Tallinn"</f>
        <v>Eesti Raamat, Tallinn</v>
      </c>
      <c r="L1254" t="str">
        <f>""</f>
        <v/>
      </c>
      <c r="M1254" t="str">
        <f>"9789916122235"</f>
        <v>9789916122235</v>
      </c>
    </row>
    <row r="1255" spans="1:13" ht="15">
      <c r="A1255" t="s">
        <v>522</v>
      </c>
      <c r="B1255" t="str">
        <f>"18036"</f>
        <v>18036</v>
      </c>
      <c r="C1255" t="str">
        <f>"2020"</f>
        <v>2020</v>
      </c>
      <c r="D1255" t="str">
        <f>"Jäniskerroin"</f>
        <v>Jäniskerroin</v>
      </c>
      <c r="E1255" t="str">
        <f t="shared" si="98"/>
        <v>viro</v>
      </c>
      <c r="F1255" t="str">
        <f>"romaanid; põnevus- ja krimikirjandus; proosa"</f>
        <v>romaanid; põnevus- ja krimikirjandus; proosa</v>
      </c>
      <c r="G1255" t="str">
        <f>"  täiskasvanud"</f>
        <v xml:space="preserve">  täiskasvanud</v>
      </c>
      <c r="H1255" t="str">
        <f t="shared" si="97"/>
        <v>2021</v>
      </c>
      <c r="I1255" t="str">
        <f>"Jänesefaktor"</f>
        <v>Jänesefaktor</v>
      </c>
      <c r="J1255" t="str">
        <f>"Mõisnik, Mihkel"</f>
        <v>Mõisnik, Mihkel</v>
      </c>
      <c r="K1255" t="str">
        <f>"Varrak, Tallinn"</f>
        <v>Varrak, Tallinn</v>
      </c>
      <c r="L1255" t="str">
        <f>""</f>
        <v/>
      </c>
      <c r="M1255" t="str">
        <f>"9789985353073"</f>
        <v>9789985353073</v>
      </c>
    </row>
    <row r="1256" spans="1:13" ht="15">
      <c r="A1256" t="s">
        <v>531</v>
      </c>
      <c r="B1256" t="str">
        <f>"17541"</f>
        <v>17541</v>
      </c>
      <c r="C1256" t="str">
        <f>"2016"</f>
        <v>2016</v>
      </c>
      <c r="D1256" t="str">
        <f>"Tangopojat : romaani"</f>
        <v>Tangopojat : romaani</v>
      </c>
      <c r="E1256" t="str">
        <f t="shared" si="98"/>
        <v>viro</v>
      </c>
      <c r="F1256" t="str">
        <f>"romaanid; proosa"</f>
        <v>romaanid; proosa</v>
      </c>
      <c r="G1256" t="str">
        <f>"  täiskasvanud"</f>
        <v xml:space="preserve">  täiskasvanud</v>
      </c>
      <c r="H1256" t="str">
        <f t="shared" si="97"/>
        <v>2021</v>
      </c>
      <c r="I1256" t="str">
        <f>"Tangopoisid"</f>
        <v>Tangopoisid</v>
      </c>
      <c r="J1256" t="str">
        <f>"Saluri, Piret"</f>
        <v>Saluri, Piret</v>
      </c>
      <c r="K1256" t="str">
        <f>"Varrak, Tallinn"</f>
        <v>Varrak, Tallinn</v>
      </c>
      <c r="L1256" t="str">
        <f>""</f>
        <v/>
      </c>
      <c r="M1256" t="str">
        <f>"9789985350805"</f>
        <v>9789985350805</v>
      </c>
    </row>
    <row r="1257" spans="1:13" ht="15">
      <c r="A1257" t="s">
        <v>545</v>
      </c>
      <c r="B1257" t="str">
        <f>"18544"</f>
        <v>18544</v>
      </c>
      <c r="C1257" t="str">
        <f>"2019"</f>
        <v>2019</v>
      </c>
      <c r="D1257" t="str">
        <f>"Valheenpaljastajan käsikirja"</f>
        <v>Valheenpaljastajan käsikirja</v>
      </c>
      <c r="E1257" t="str">
        <f t="shared" si="98"/>
        <v>viro</v>
      </c>
      <c r="F1257" t="str">
        <f>""</f>
        <v/>
      </c>
      <c r="G1257" t="str">
        <f>"  täiskasvanud"</f>
        <v xml:space="preserve">  täiskasvanud</v>
      </c>
      <c r="H1257" t="str">
        <f aca="true" t="shared" si="99" ref="H1257:H1262">"2021"</f>
        <v>2021</v>
      </c>
      <c r="I1257" t="str">
        <f>"Valede paljastamise käsiraamat"</f>
        <v>Valede paljastamise käsiraamat</v>
      </c>
      <c r="J1257" t="str">
        <f>"Pent, Margit"</f>
        <v>Pent, Margit</v>
      </c>
      <c r="K1257" t="str">
        <f>"Menu Meedia, Tallinn"</f>
        <v>Menu Meedia, Tallinn</v>
      </c>
      <c r="L1257" t="str">
        <f>""</f>
        <v/>
      </c>
      <c r="M1257" t="str">
        <f>"9789949686360"</f>
        <v>9789949686360</v>
      </c>
    </row>
    <row r="1258" spans="1:13" ht="15">
      <c r="A1258" t="s">
        <v>546</v>
      </c>
      <c r="B1258" t="str">
        <f>"17576"</f>
        <v>17576</v>
      </c>
      <c r="C1258" t="str">
        <f>"2019"</f>
        <v>2019</v>
      </c>
      <c r="D1258" t="str">
        <f>"Ensimmäinen nainen : romaani"</f>
        <v>Ensimmäinen nainen : romaani</v>
      </c>
      <c r="E1258" t="str">
        <f t="shared" si="98"/>
        <v>viro</v>
      </c>
      <c r="F1258" t="str">
        <f>"romaanid; proosa"</f>
        <v>romaanid; proosa</v>
      </c>
      <c r="G1258" t="str">
        <f>"  täiskasvanud"</f>
        <v xml:space="preserve">  täiskasvanud</v>
      </c>
      <c r="H1258" t="str">
        <f t="shared" si="99"/>
        <v>2021</v>
      </c>
      <c r="I1258" t="str">
        <f>"Esimene naine : romaan Sylvi Kekkosest"</f>
        <v>Esimene naine : romaan Sylvi Kekkosest</v>
      </c>
      <c r="J1258" t="str">
        <f>"Aareleid, Kai"</f>
        <v>Aareleid, Kai</v>
      </c>
      <c r="K1258" t="str">
        <f>"Varrak, Tallinn"</f>
        <v>Varrak, Tallinn</v>
      </c>
      <c r="L1258" t="str">
        <f>""</f>
        <v/>
      </c>
      <c r="M1258" t="str">
        <f>"9789985351680"</f>
        <v>9789985351680</v>
      </c>
    </row>
    <row r="1259" spans="1:13" ht="15">
      <c r="A1259" t="s">
        <v>550</v>
      </c>
      <c r="B1259" t="str">
        <f>"17853"</f>
        <v>17853</v>
      </c>
      <c r="C1259" t="str">
        <f>"2017"</f>
        <v>2017</v>
      </c>
      <c r="D1259" t="str">
        <f>"Hilja ja vihreän talon kesä"</f>
        <v>Hilja ja vihreän talon kesä</v>
      </c>
      <c r="E1259" t="str">
        <f t="shared" si="98"/>
        <v>viro</v>
      </c>
      <c r="F1259" t="str">
        <f>"proosa"</f>
        <v>proosa</v>
      </c>
      <c r="G1259" t="str">
        <f>" lapsed ja noored"</f>
        <v xml:space="preserve"> lapsed ja noored</v>
      </c>
      <c r="H1259" t="str">
        <f t="shared" si="99"/>
        <v>2021</v>
      </c>
      <c r="I1259" t="str">
        <f>"Hilja ja rohelise maja suvi"</f>
        <v>Hilja ja rohelise maja suvi</v>
      </c>
      <c r="J1259" t="str">
        <f>"Lemendik, Helena"</f>
        <v>Lemendik, Helena</v>
      </c>
      <c r="K1259" t="str">
        <f>"Eesti Raamat, Tallinn"</f>
        <v>Eesti Raamat, Tallinn</v>
      </c>
      <c r="L1259" t="str">
        <f>""</f>
        <v/>
      </c>
      <c r="M1259" t="str">
        <f>"9789916121368"</f>
        <v>9789916121368</v>
      </c>
    </row>
    <row r="1260" spans="1:13" ht="15">
      <c r="A1260" t="s">
        <v>552</v>
      </c>
      <c r="B1260" t="str">
        <f>"18974"</f>
        <v>18974</v>
      </c>
      <c r="C1260" t="str">
        <f>"2020"</f>
        <v>2020</v>
      </c>
      <c r="D1260" t="str">
        <f>"Kiitoskortti Hitleriltä : SS-mies Jorma Laitisen päiväkirjat 1941-1943"</f>
        <v>Kiitoskortti Hitleriltä : SS-mies Jorma Laitisen päiväkirjat 1941-1943</v>
      </c>
      <c r="E1260" t="str">
        <f t="shared" si="98"/>
        <v>viro</v>
      </c>
      <c r="F1260" t="str">
        <f>""</f>
        <v/>
      </c>
      <c r="G1260" t="str">
        <f>"  täiskasvanud"</f>
        <v xml:space="preserve">  täiskasvanud</v>
      </c>
      <c r="H1260" t="str">
        <f t="shared" si="99"/>
        <v>2021</v>
      </c>
      <c r="I1260" t="str">
        <f>"Tänukaart Hitlerilt"</f>
        <v>Tänukaart Hitlerilt</v>
      </c>
      <c r="J1260" t="str">
        <f>"Adamson, Andres"</f>
        <v>Adamson, Andres</v>
      </c>
      <c r="K1260" t="str">
        <f>"Argo, Tallinn"</f>
        <v>Argo, Tallinn</v>
      </c>
      <c r="L1260" t="str">
        <f>""</f>
        <v/>
      </c>
      <c r="M1260" t="str">
        <f>"9789949688753"</f>
        <v>9789949688753</v>
      </c>
    </row>
    <row r="1261" spans="1:13" ht="15">
      <c r="A1261" t="s">
        <v>561</v>
      </c>
      <c r="B1261" t="str">
        <f>"18725"</f>
        <v>18725</v>
      </c>
      <c r="C1261" t="str">
        <f>"2018"</f>
        <v>2018</v>
      </c>
      <c r="D1261" t="str">
        <f>"Kasvatus ekokriisin aikakaudella"</f>
        <v>Kasvatus ekokriisin aikakaudella</v>
      </c>
      <c r="E1261" t="str">
        <f t="shared" si="98"/>
        <v>viro</v>
      </c>
      <c r="F1261" t="str">
        <f>""</f>
        <v/>
      </c>
      <c r="G1261" t="str">
        <f>"  täiskasvanud"</f>
        <v xml:space="preserve">  täiskasvanud</v>
      </c>
      <c r="H1261" t="str">
        <f t="shared" si="99"/>
        <v>2021</v>
      </c>
      <c r="I1261" t="str">
        <f>"Kasvatus ökokriisi ajastul"</f>
        <v>Kasvatus ökokriisi ajastul</v>
      </c>
      <c r="J1261" t="str">
        <f>"Jürvetson, Maria-Magdalena"</f>
        <v>Jürvetson, Maria-Magdalena</v>
      </c>
      <c r="K1261" t="str">
        <f>"Tallinna Ülikooli Kirjastus, Tallinn"</f>
        <v>Tallinna Ülikooli Kirjastus, Tallinn</v>
      </c>
      <c r="L1261" t="str">
        <f>""</f>
        <v/>
      </c>
      <c r="M1261" t="str">
        <f>"9789985589045"</f>
        <v>9789985589045</v>
      </c>
    </row>
    <row r="1262" spans="1:13" ht="15">
      <c r="A1262" t="s">
        <v>572</v>
      </c>
      <c r="B1262" t="str">
        <f>"17738"</f>
        <v>17738</v>
      </c>
      <c r="C1262" t="str">
        <f>"2020"</f>
        <v>2020</v>
      </c>
      <c r="D1262" t="str">
        <f>"Kaksoisvaltion haaveilija : Konstantin Päts ja Suomi"</f>
        <v>Kaksoisvaltion haaveilija : Konstantin Päts ja Suomi</v>
      </c>
      <c r="E1262" t="str">
        <f t="shared" si="98"/>
        <v>viro</v>
      </c>
      <c r="F1262" t="str">
        <f>""</f>
        <v/>
      </c>
      <c r="G1262" t="str">
        <f>"  täiskasvanud"</f>
        <v xml:space="preserve">  täiskasvanud</v>
      </c>
      <c r="H1262" t="str">
        <f t="shared" si="99"/>
        <v>2021</v>
      </c>
      <c r="I1262" t="str">
        <f>"Konstantin Päts ja Soome"</f>
        <v>Konstantin Päts ja Soome</v>
      </c>
      <c r="J1262" t="str">
        <f>"Olesk, Sirje"</f>
        <v>Olesk, Sirje</v>
      </c>
      <c r="K1262" t="str">
        <f>"Varrak, Tallinn"</f>
        <v>Varrak, Tallinn</v>
      </c>
      <c r="L1262" t="str">
        <f>""</f>
        <v/>
      </c>
      <c r="M1262" t="str">
        <f>"9789985350782"</f>
        <v>9789985350782</v>
      </c>
    </row>
    <row r="1263" spans="1:13" ht="15">
      <c r="A1263" t="s">
        <v>1</v>
      </c>
      <c r="B1263" t="str">
        <f>"17972"</f>
        <v>17972</v>
      </c>
      <c r="C1263" t="str">
        <f>"2021"</f>
        <v>2021</v>
      </c>
      <c r="D1263" t="str">
        <f>"Rakastan sinussa ihmistä : Aino ja Alvar Aallon tarina"</f>
        <v>Rakastan sinussa ihmistä : Aino ja Alvar Aallon tarina</v>
      </c>
      <c r="E1263" t="str">
        <f t="shared" si="98"/>
        <v>viro</v>
      </c>
      <c r="F1263" t="str">
        <f>""</f>
        <v/>
      </c>
      <c r="G1263" t="str">
        <f>"  täiskasvanud"</f>
        <v xml:space="preserve">  täiskasvanud</v>
      </c>
      <c r="H1263" t="str">
        <f aca="true" t="shared" si="100" ref="H1263:H1294">"2022"</f>
        <v>2022</v>
      </c>
      <c r="I1263" t="str">
        <f>"Armastan sinus inimest"</f>
        <v>Armastan sinus inimest</v>
      </c>
      <c r="J1263" t="str">
        <f>"Maripuu, Tiina"</f>
        <v>Maripuu, Tiina</v>
      </c>
      <c r="K1263" t="str">
        <f>"Postimees, Tallinn"</f>
        <v>Postimees, Tallinn</v>
      </c>
      <c r="L1263" t="str">
        <f>""</f>
        <v/>
      </c>
      <c r="M1263" t="str">
        <f>"978-9916-667-92-7"</f>
        <v>978-9916-667-92-7</v>
      </c>
    </row>
    <row r="1264" spans="1:13" ht="15">
      <c r="A1264" t="s">
        <v>3</v>
      </c>
      <c r="B1264" t="str">
        <f>"19412"</f>
        <v>19412</v>
      </c>
      <c r="C1264" t="str">
        <f>"2022"</f>
        <v>2022</v>
      </c>
      <c r="D1264" t="str">
        <f>"Jalkapallon musta kirja"</f>
        <v>Jalkapallon musta kirja</v>
      </c>
      <c r="E1264" t="str">
        <f t="shared" si="98"/>
        <v>viro</v>
      </c>
      <c r="F1264" t="str">
        <f>""</f>
        <v/>
      </c>
      <c r="G1264" t="str">
        <f>"  täiskasvanud"</f>
        <v xml:space="preserve">  täiskasvanud</v>
      </c>
      <c r="H1264" t="str">
        <f t="shared" si="100"/>
        <v>2022</v>
      </c>
      <c r="I1264" t="str">
        <f>"Jalgpalli must raamat "</f>
        <v xml:space="preserve">Jalgpalli must raamat </v>
      </c>
      <c r="J1264" t="str">
        <f>"Orntlich, Anne-Mari"</f>
        <v>Orntlich, Anne-Mari</v>
      </c>
      <c r="K1264" t="str">
        <f>"Helios, Tallinn"</f>
        <v>Helios, Tallinn</v>
      </c>
      <c r="L1264" t="str">
        <f>""</f>
        <v/>
      </c>
      <c r="M1264" t="str">
        <f>"9789916711019"</f>
        <v>9789916711019</v>
      </c>
    </row>
    <row r="1265" spans="1:13" ht="15">
      <c r="A1265" t="s">
        <v>8</v>
      </c>
      <c r="B1265" t="str">
        <f>"18892"</f>
        <v>18892</v>
      </c>
      <c r="C1265" t="str">
        <f>"2020"</f>
        <v>2020</v>
      </c>
      <c r="D1265" t="str">
        <f>"1991 : mustien joutsenten vuosi"</f>
        <v>1991 : mustien joutsenten vuosi</v>
      </c>
      <c r="E1265" t="str">
        <f t="shared" si="98"/>
        <v>viro</v>
      </c>
      <c r="F1265" t="str">
        <f>""</f>
        <v/>
      </c>
      <c r="G1265" t="str">
        <f>"  täiskasvanud"</f>
        <v xml:space="preserve">  täiskasvanud</v>
      </c>
      <c r="H1265" t="str">
        <f t="shared" si="100"/>
        <v>2022</v>
      </c>
      <c r="I1265" t="str">
        <f>"1991 : Mustade luikede aasta "</f>
        <v xml:space="preserve">1991 : Mustade luikede aasta </v>
      </c>
      <c r="J1265" t="str">
        <f>"Pärnamäe, Jaan"</f>
        <v>Pärnamäe, Jaan</v>
      </c>
      <c r="K1265" t="str">
        <f>"Postimees, Tartu"</f>
        <v>Postimees, Tartu</v>
      </c>
      <c r="L1265" t="str">
        <f>""</f>
        <v/>
      </c>
      <c r="M1265" t="str">
        <f>"9789916667774 "</f>
        <v xml:space="preserve">9789916667774 </v>
      </c>
    </row>
    <row r="1266" spans="1:13" ht="15">
      <c r="A1266" t="s">
        <v>21</v>
      </c>
      <c r="B1266" t="str">
        <f>"19113"</f>
        <v>19113</v>
      </c>
      <c r="C1266" t="str">
        <f>"2019"</f>
        <v>2019</v>
      </c>
      <c r="D1266" t="str">
        <f>"Vesta-Linnéa och vännerna"</f>
        <v>Vesta-Linnéa och vännerna</v>
      </c>
      <c r="E1266" t="str">
        <f t="shared" si="98"/>
        <v>viro</v>
      </c>
      <c r="F1266" t="str">
        <f>"pildiraamatud"</f>
        <v>pildiraamatud</v>
      </c>
      <c r="G1266" t="str">
        <f>" lapsed ja noored"</f>
        <v xml:space="preserve"> lapsed ja noored</v>
      </c>
      <c r="H1266" t="str">
        <f t="shared" si="100"/>
        <v>2022</v>
      </c>
      <c r="I1266" t="str">
        <f>"Vesta-Linne ja sõbrad "</f>
        <v xml:space="preserve">Vesta-Linne ja sõbrad </v>
      </c>
      <c r="J1266" t="str">
        <f>"Haasma, Kadi-Riin"</f>
        <v>Haasma, Kadi-Riin</v>
      </c>
      <c r="K1266" t="str">
        <f>"Ühinenud Ajakirjad, Tallinn"</f>
        <v>Ühinenud Ajakirjad, Tallinn</v>
      </c>
      <c r="L1266" t="str">
        <f>""</f>
        <v/>
      </c>
      <c r="M1266" t="str">
        <f>"9789916694466 "</f>
        <v xml:space="preserve">9789916694466 </v>
      </c>
    </row>
    <row r="1267" spans="1:13" ht="15">
      <c r="A1267" t="s">
        <v>26</v>
      </c>
      <c r="B1267" t="str">
        <f>"17760"</f>
        <v>17760</v>
      </c>
      <c r="C1267" t="str">
        <f>"2020"</f>
        <v>2020</v>
      </c>
      <c r="D1267" t="str">
        <f>"Kun kuningas kuolee"</f>
        <v>Kun kuningas kuolee</v>
      </c>
      <c r="E1267" t="str">
        <f t="shared" si="98"/>
        <v>viro</v>
      </c>
      <c r="F1267" t="str">
        <f>"romaanid; põnevus- ja krimikirjandus; proosa"</f>
        <v>romaanid; põnevus- ja krimikirjandus; proosa</v>
      </c>
      <c r="G1267" t="str">
        <f>"  täiskasvanud"</f>
        <v xml:space="preserve">  täiskasvanud</v>
      </c>
      <c r="H1267" t="str">
        <f t="shared" si="100"/>
        <v>2022</v>
      </c>
      <c r="I1267" t="str">
        <f>"Kui kuningas sureb"</f>
        <v>Kui kuningas sureb</v>
      </c>
      <c r="J1267" t="str">
        <f>"Jaanits, Kadri"</f>
        <v>Jaanits, Kadri</v>
      </c>
      <c r="K1267" t="str">
        <f>"Varrak, Tallinn"</f>
        <v>Varrak, Tallinn</v>
      </c>
      <c r="L1267" t="str">
        <f>""</f>
        <v/>
      </c>
      <c r="M1267" t="str">
        <f>"9789985354612"</f>
        <v>9789985354612</v>
      </c>
    </row>
    <row r="1268" spans="1:13" ht="15">
      <c r="A1268" t="s">
        <v>33</v>
      </c>
      <c r="B1268" t="str">
        <f>"18691"</f>
        <v>18691</v>
      </c>
      <c r="C1268" t="str">
        <f>"2020"</f>
        <v>2020</v>
      </c>
      <c r="D1268" t="str">
        <f>"Heiman"</f>
        <v>Heiman</v>
      </c>
      <c r="E1268" t="str">
        <f t="shared" si="98"/>
        <v>viro</v>
      </c>
      <c r="F1268" t="str">
        <f>"romaanid; proosa"</f>
        <v>romaanid; proosa</v>
      </c>
      <c r="G1268" t="str">
        <f>"  täiskasvanud"</f>
        <v xml:space="preserve">  täiskasvanud</v>
      </c>
      <c r="H1268" t="str">
        <f t="shared" si="100"/>
        <v>2022</v>
      </c>
      <c r="I1268" t="str">
        <f>"Kodutalu"</f>
        <v>Kodutalu</v>
      </c>
      <c r="J1268" t="str">
        <f>"Arnover, Tõnis"</f>
        <v>Arnover, Tõnis</v>
      </c>
      <c r="K1268" t="str">
        <f>"Eesti Raamat, Tallinn"</f>
        <v>Eesti Raamat, Tallinn</v>
      </c>
      <c r="L1268" t="str">
        <f>""</f>
        <v/>
      </c>
      <c r="M1268" t="str">
        <f>"9789916123928 "</f>
        <v xml:space="preserve">9789916123928 </v>
      </c>
    </row>
    <row r="1269" spans="1:13" ht="15">
      <c r="A1269" t="s">
        <v>46</v>
      </c>
      <c r="B1269" t="str">
        <f>"19043"</f>
        <v>19043</v>
      </c>
      <c r="C1269" t="str">
        <f>"2021"</f>
        <v>2021</v>
      </c>
      <c r="D1269" t="str">
        <f>"Aika matka! : Lotta, Kasper ja luontokadon arvoitus "</f>
        <v xml:space="preserve">Aika matka! : Lotta, Kasper ja luontokadon arvoitus </v>
      </c>
      <c r="E1269" t="str">
        <f t="shared" si="98"/>
        <v>viro</v>
      </c>
      <c r="F1269" t="str">
        <f>""</f>
        <v/>
      </c>
      <c r="G1269" t="str">
        <f>" lapsed ja noored"</f>
        <v xml:space="preserve"> lapsed ja noored</v>
      </c>
      <c r="H1269" t="str">
        <f t="shared" si="100"/>
        <v>2022</v>
      </c>
      <c r="I1269" t="str">
        <f>"Ajarännak! Loore, Kaspar ja kaduva looduse mõistatus"</f>
        <v>Ajarännak! Loore, Kaspar ja kaduva looduse mõistatus</v>
      </c>
      <c r="J1269" t="str">
        <f>"Haav, Evelin "</f>
        <v xml:space="preserve">Haav, Evelin </v>
      </c>
      <c r="K1269" t="str">
        <f>"Avita, Tallinn"</f>
        <v>Avita, Tallinn</v>
      </c>
      <c r="L1269" t="str">
        <f>""</f>
        <v/>
      </c>
      <c r="M1269" t="str">
        <f>""</f>
        <v/>
      </c>
    </row>
    <row r="1270" spans="1:13" ht="15">
      <c r="A1270" t="s">
        <v>46</v>
      </c>
      <c r="B1270" t="str">
        <f>"19115"</f>
        <v>19115</v>
      </c>
      <c r="C1270" t="str">
        <f>"2022"</f>
        <v>2022</v>
      </c>
      <c r="D1270" t="str">
        <f>"Mikä on robotti?"</f>
        <v>Mikä on robotti?</v>
      </c>
      <c r="E1270" t="str">
        <f t="shared" si="98"/>
        <v>viro</v>
      </c>
      <c r="F1270" t="str">
        <f>"pildiraamatud"</f>
        <v>pildiraamatud</v>
      </c>
      <c r="G1270" t="str">
        <f>" lapsed ja noored"</f>
        <v xml:space="preserve"> lapsed ja noored</v>
      </c>
      <c r="H1270" t="str">
        <f t="shared" si="100"/>
        <v>2022</v>
      </c>
      <c r="I1270" t="str">
        <f>"Mis on robot?"</f>
        <v>Mis on robot?</v>
      </c>
      <c r="J1270" t="str">
        <f>"Haav, Evelin "</f>
        <v xml:space="preserve">Haav, Evelin </v>
      </c>
      <c r="K1270" t="str">
        <f>"Avita, Tallinn"</f>
        <v>Avita, Tallinn</v>
      </c>
      <c r="L1270" t="str">
        <f>""</f>
        <v/>
      </c>
      <c r="M1270" t="str">
        <f>"9789985223659 "</f>
        <v xml:space="preserve">9789985223659 </v>
      </c>
    </row>
    <row r="1271" spans="1:13" ht="15">
      <c r="A1271" t="s">
        <v>48</v>
      </c>
      <c r="B1271" t="str">
        <f>"18423"</f>
        <v>18423</v>
      </c>
      <c r="C1271" t="str">
        <f>"2017"</f>
        <v>2017</v>
      </c>
      <c r="D1271" t="str">
        <f>"Blå villan"</f>
        <v>Blå villan</v>
      </c>
      <c r="E1271" t="str">
        <f t="shared" si="98"/>
        <v>viro</v>
      </c>
      <c r="F1271" t="str">
        <f>"romaanid; põnevus- ja krimikirjandus; proosa"</f>
        <v>romaanid; põnevus- ja krimikirjandus; proosa</v>
      </c>
      <c r="G1271" t="str">
        <f>"  täiskasvanud"</f>
        <v xml:space="preserve">  täiskasvanud</v>
      </c>
      <c r="H1271" t="str">
        <f t="shared" si="100"/>
        <v>2022</v>
      </c>
      <c r="I1271" t="str">
        <f>"Sinine villa"</f>
        <v>Sinine villa</v>
      </c>
      <c r="J1271" t="str">
        <f>"Okas, Kadri"</f>
        <v>Okas, Kadri</v>
      </c>
      <c r="K1271" t="str">
        <f>"Rahva Raamat, Tallinn"</f>
        <v>Rahva Raamat, Tallinn</v>
      </c>
      <c r="L1271" t="str">
        <f>""</f>
        <v/>
      </c>
      <c r="M1271" t="str">
        <f>"9789916140581"</f>
        <v>9789916140581</v>
      </c>
    </row>
    <row r="1272" spans="1:13" ht="15">
      <c r="A1272" t="s">
        <v>51</v>
      </c>
      <c r="B1272" t="str">
        <f>"19089"</f>
        <v>19089</v>
      </c>
      <c r="C1272" t="str">
        <f>"2022"</f>
        <v>2022</v>
      </c>
      <c r="D1272" t="str">
        <f>"Roosa ja vihreä zombi"</f>
        <v>Roosa ja vihreä zombi</v>
      </c>
      <c r="E1272" t="str">
        <f t="shared" si="98"/>
        <v>viro</v>
      </c>
      <c r="F1272" t="str">
        <f>"proosa"</f>
        <v>proosa</v>
      </c>
      <c r="G1272" t="str">
        <f>" lapsed ja noored"</f>
        <v xml:space="preserve"> lapsed ja noored</v>
      </c>
      <c r="H1272" t="str">
        <f t="shared" si="100"/>
        <v>2022</v>
      </c>
      <c r="I1272" t="str">
        <f>"Hele ja roheline zombi"</f>
        <v>Hele ja roheline zombi</v>
      </c>
      <c r="J1272" t="str">
        <f>"Juursoo, Lauri"</f>
        <v>Juursoo, Lauri</v>
      </c>
      <c r="K1272" t="str">
        <f>"Elust Enesest, Tallinn"</f>
        <v>Elust Enesest, Tallinn</v>
      </c>
      <c r="L1272" t="str">
        <f>""</f>
        <v/>
      </c>
      <c r="M1272" t="str">
        <f>"9789916975725 "</f>
        <v xml:space="preserve">9789916975725 </v>
      </c>
    </row>
    <row r="1273" spans="1:13" ht="15">
      <c r="A1273" t="s">
        <v>65</v>
      </c>
      <c r="B1273" t="str">
        <f>"19073"</f>
        <v>19073</v>
      </c>
      <c r="C1273" t="str">
        <f>"2022"</f>
        <v>2022</v>
      </c>
      <c r="D1273" t="str">
        <f>"Museon hassu haamuherra"</f>
        <v>Museon hassu haamuherra</v>
      </c>
      <c r="E1273" t="str">
        <f t="shared" si="98"/>
        <v>viro</v>
      </c>
      <c r="F1273" t="str">
        <f>"pildiraamatud"</f>
        <v>pildiraamatud</v>
      </c>
      <c r="G1273" t="str">
        <f>" lapsed ja noored"</f>
        <v xml:space="preserve"> lapsed ja noored</v>
      </c>
      <c r="H1273" t="str">
        <f t="shared" si="100"/>
        <v>2022</v>
      </c>
      <c r="I1273" t="str">
        <f>"Kentsakas kummitushärra"</f>
        <v>Kentsakas kummitushärra</v>
      </c>
      <c r="J1273" t="str">
        <f>"Juursoo, Lauri"</f>
        <v>Juursoo, Lauri</v>
      </c>
      <c r="K1273" t="str">
        <f>"Elust Enesest, Tallinn"</f>
        <v>Elust Enesest, Tallinn</v>
      </c>
      <c r="L1273" t="str">
        <f>""</f>
        <v/>
      </c>
      <c r="M1273" t="str">
        <f>"978-9916-9757-3-2"</f>
        <v>978-9916-9757-3-2</v>
      </c>
    </row>
    <row r="1274" spans="1:13" ht="15">
      <c r="A1274" t="s">
        <v>67</v>
      </c>
      <c r="B1274" t="str">
        <f>"19348"</f>
        <v>19348</v>
      </c>
      <c r="C1274" t="str">
        <f>"2019"</f>
        <v>2019</v>
      </c>
      <c r="D1274" t="str">
        <f>"Vierashuoneet"</f>
        <v>Vierashuoneet</v>
      </c>
      <c r="E1274" t="str">
        <f t="shared" si="98"/>
        <v>viro</v>
      </c>
      <c r="F1274" t="str">
        <f>"romaanid; proosa"</f>
        <v>romaanid; proosa</v>
      </c>
      <c r="G1274" t="str">
        <f>"  täiskasvanud"</f>
        <v xml:space="preserve">  täiskasvanud</v>
      </c>
      <c r="H1274" t="str">
        <f t="shared" si="100"/>
        <v>2022</v>
      </c>
      <c r="I1274" t="str">
        <f>"Külalistetoad "</f>
        <v xml:space="preserve">Külalistetoad </v>
      </c>
      <c r="J1274" t="str">
        <f>"Kordemets, Gerda, Tael, Triin"</f>
        <v>Kordemets, Gerda, Tael, Triin</v>
      </c>
      <c r="K1274" t="str">
        <f>"Hea Lugu, Tallinn"</f>
        <v>Hea Lugu, Tallinn</v>
      </c>
      <c r="L1274" t="str">
        <f>""</f>
        <v/>
      </c>
      <c r="M1274" t="str">
        <f>"9789916702086"</f>
        <v>9789916702086</v>
      </c>
    </row>
    <row r="1275" spans="1:13" ht="15">
      <c r="A1275" t="s">
        <v>77</v>
      </c>
      <c r="B1275" t="str">
        <f>"18838"</f>
        <v>18838</v>
      </c>
      <c r="C1275" t="str">
        <f>"2021"</f>
        <v>2021</v>
      </c>
      <c r="D1275" t="str">
        <f>"Prinsessa Rämäpää ja riitataika"</f>
        <v>Prinsessa Rämäpää ja riitataika</v>
      </c>
      <c r="E1275" t="str">
        <f t="shared" si="98"/>
        <v>viro</v>
      </c>
      <c r="F1275" t="str">
        <f>"pildiraamatud"</f>
        <v>pildiraamatud</v>
      </c>
      <c r="G1275" t="str">
        <f>" lapsed ja noored"</f>
        <v xml:space="preserve"> lapsed ja noored</v>
      </c>
      <c r="H1275" t="str">
        <f t="shared" si="100"/>
        <v>2022</v>
      </c>
      <c r="I1275" t="str">
        <f>"Printsess Võrukaela tüliloits"</f>
        <v>Printsess Võrukaela tüliloits</v>
      </c>
      <c r="J1275" t="str">
        <f>"Juursoo, Lauri"</f>
        <v>Juursoo, Lauri</v>
      </c>
      <c r="K1275" t="str">
        <f>"Elust Enesest, Tallinn"</f>
        <v>Elust Enesest, Tallinn</v>
      </c>
      <c r="L1275" t="str">
        <f>""</f>
        <v/>
      </c>
      <c r="M1275" t="str">
        <f>"9789916975787 "</f>
        <v xml:space="preserve">9789916975787 </v>
      </c>
    </row>
    <row r="1276" spans="1:13" ht="15">
      <c r="A1276" t="s">
        <v>77</v>
      </c>
      <c r="B1276" t="str">
        <f>"18839"</f>
        <v>18839</v>
      </c>
      <c r="C1276" t="str">
        <f>"2019"</f>
        <v>2019</v>
      </c>
      <c r="D1276" t="str">
        <f>"Prinsessa Rämäpää ja vessasanat"</f>
        <v>Prinsessa Rämäpää ja vessasanat</v>
      </c>
      <c r="E1276" t="str">
        <f t="shared" si="98"/>
        <v>viro</v>
      </c>
      <c r="F1276" t="str">
        <f>"pildiraamatud"</f>
        <v>pildiraamatud</v>
      </c>
      <c r="G1276" t="str">
        <f>" lapsed ja noored"</f>
        <v xml:space="preserve"> lapsed ja noored</v>
      </c>
      <c r="H1276" t="str">
        <f t="shared" si="100"/>
        <v>2022</v>
      </c>
      <c r="I1276" t="str">
        <f>"Printsess Võrukaela vetsuloits "</f>
        <v xml:space="preserve">Printsess Võrukaela vetsuloits </v>
      </c>
      <c r="J1276" t="str">
        <f>"Juursoo, Lauri"</f>
        <v>Juursoo, Lauri</v>
      </c>
      <c r="K1276" t="str">
        <f>"Elust Enesest, Tallinn"</f>
        <v>Elust Enesest, Tallinn</v>
      </c>
      <c r="L1276" t="str">
        <f>""</f>
        <v/>
      </c>
      <c r="M1276" t="str">
        <f>"9789916975794 "</f>
        <v xml:space="preserve">9789916975794 </v>
      </c>
    </row>
    <row r="1277" spans="1:13" ht="15">
      <c r="A1277" t="s">
        <v>77</v>
      </c>
      <c r="B1277" t="str">
        <f>"18840"</f>
        <v>18840</v>
      </c>
      <c r="C1277" t="str">
        <f>"2017"</f>
        <v>2017</v>
      </c>
      <c r="D1277" t="str">
        <f>"Prinsessa Rämäpään talvitaika"</f>
        <v>Prinsessa Rämäpään talvitaika</v>
      </c>
      <c r="E1277" t="str">
        <f t="shared" si="98"/>
        <v>viro</v>
      </c>
      <c r="F1277" t="str">
        <f>"pildiraamatud"</f>
        <v>pildiraamatud</v>
      </c>
      <c r="G1277" t="str">
        <f>" lapsed ja noored"</f>
        <v xml:space="preserve"> lapsed ja noored</v>
      </c>
      <c r="H1277" t="str">
        <f t="shared" si="100"/>
        <v>2022</v>
      </c>
      <c r="I1277" t="str">
        <f>"Printsess Võrukaela talveloits"</f>
        <v>Printsess Võrukaela talveloits</v>
      </c>
      <c r="J1277" t="str">
        <f>"Juursoo, Lauri"</f>
        <v>Juursoo, Lauri</v>
      </c>
      <c r="K1277" t="str">
        <f>"Elust Enesest, Tallinn"</f>
        <v>Elust Enesest, Tallinn</v>
      </c>
      <c r="L1277" t="str">
        <f>""</f>
        <v/>
      </c>
      <c r="M1277" t="str">
        <f>"9789949744190 "</f>
        <v xml:space="preserve">9789949744190 </v>
      </c>
    </row>
    <row r="1278" spans="1:13" ht="15">
      <c r="A1278" t="s">
        <v>80</v>
      </c>
      <c r="B1278" t="str">
        <f>"19240"</f>
        <v>19240</v>
      </c>
      <c r="C1278" t="str">
        <f>""</f>
        <v/>
      </c>
      <c r="D1278" t="str">
        <f>""</f>
        <v/>
      </c>
      <c r="E1278" t="str">
        <f t="shared" si="98"/>
        <v>viro</v>
      </c>
      <c r="F1278" t="str">
        <f>"luule, lüürika"</f>
        <v>luule, lüürika</v>
      </c>
      <c r="G1278" t="str">
        <f>"  täiskasvanud"</f>
        <v xml:space="preserve">  täiskasvanud</v>
      </c>
      <c r="H1278" t="str">
        <f t="shared" si="100"/>
        <v>2022</v>
      </c>
      <c r="I1278" t="str">
        <f>"Tagasitee "</f>
        <v xml:space="preserve">Tagasitee </v>
      </c>
      <c r="J1278" t="str">
        <f>"Mathura, [pseud.]"</f>
        <v>Mathura, [pseud.]</v>
      </c>
      <c r="K1278" t="str">
        <f>"Allikaäärne, [Lelle]"</f>
        <v>Allikaäärne, [Lelle]</v>
      </c>
      <c r="L1278" t="str">
        <f>""</f>
        <v/>
      </c>
      <c r="M1278" t="str">
        <f>"9789949746859"</f>
        <v>9789949746859</v>
      </c>
    </row>
    <row r="1279" spans="1:13" ht="15">
      <c r="A1279" t="s">
        <v>94</v>
      </c>
      <c r="B1279" t="str">
        <f>"18596"</f>
        <v>18596</v>
      </c>
      <c r="C1279" t="str">
        <f>"2021"</f>
        <v>2021</v>
      </c>
      <c r="D1279" t="str">
        <f>"Plats på jorden"</f>
        <v>Plats på jorden</v>
      </c>
      <c r="E1279" t="str">
        <f t="shared" si="98"/>
        <v>viro</v>
      </c>
      <c r="F1279" t="str">
        <f>"pildiraamatud"</f>
        <v>pildiraamatud</v>
      </c>
      <c r="G1279" t="str">
        <f>" lapsed ja noored"</f>
        <v xml:space="preserve"> lapsed ja noored</v>
      </c>
      <c r="H1279" t="str">
        <f t="shared" si="100"/>
        <v>2022</v>
      </c>
      <c r="I1279" t="str">
        <f>"Salajane aed"</f>
        <v>Salajane aed</v>
      </c>
      <c r="J1279" t="str">
        <f>"Sooneste, Allar"</f>
        <v>Sooneste, Allar</v>
      </c>
      <c r="K1279" t="str">
        <f>"Ühinenud Ajakirjad, Tallinn"</f>
        <v>Ühinenud Ajakirjad, Tallinn</v>
      </c>
      <c r="L1279" t="str">
        <f>""</f>
        <v/>
      </c>
      <c r="M1279" t="str">
        <f>"9789916694282 "</f>
        <v xml:space="preserve">9789916694282 </v>
      </c>
    </row>
    <row r="1280" spans="1:13" ht="15">
      <c r="A1280" t="s">
        <v>96</v>
      </c>
      <c r="B1280" t="str">
        <f>"19579"</f>
        <v>19579</v>
      </c>
      <c r="C1280" t="str">
        <f>"2009"</f>
        <v>2009</v>
      </c>
      <c r="D1280" t="str">
        <f>"Haaveita ja haluja : selkokielisiä tarinoita seksuaalisuudesta"</f>
        <v>Haaveita ja haluja : selkokielisiä tarinoita seksuaalisuudesta</v>
      </c>
      <c r="E1280" t="str">
        <f t="shared" si="98"/>
        <v>viro</v>
      </c>
      <c r="F1280" t="str">
        <f>""</f>
        <v/>
      </c>
      <c r="G1280" t="str">
        <f>"  täiskasvanud"</f>
        <v xml:space="preserve">  täiskasvanud</v>
      </c>
      <c r="H1280" t="str">
        <f t="shared" si="100"/>
        <v>2022</v>
      </c>
      <c r="I1280" t="str">
        <f>"Unistused ja ihad : jutud seksuaalsusest lihtsas keeles"</f>
        <v>Unistused ja ihad : jutud seksuaalsusest lihtsas keeles</v>
      </c>
      <c r="J1280" t="str">
        <f>"Part, Kai "</f>
        <v xml:space="preserve">Part, Kai </v>
      </c>
      <c r="K1280" t="str">
        <f>"Menu Meedia, Tallinn"</f>
        <v>Menu Meedia, Tallinn</v>
      </c>
      <c r="L1280" t="str">
        <f>""</f>
        <v/>
      </c>
      <c r="M1280" t="str">
        <f>"9789949686667"</f>
        <v>9789949686667</v>
      </c>
    </row>
    <row r="1281" spans="1:13" ht="15">
      <c r="A1281" t="s">
        <v>97</v>
      </c>
      <c r="B1281" t="str">
        <f>"19353"</f>
        <v>19353</v>
      </c>
      <c r="C1281" t="str">
        <f>"2022"</f>
        <v>2022</v>
      </c>
      <c r="D1281" t="str">
        <f>"Johannes-Andreas : romaani rakkauden synnistä; rikoksesta Jumalaa ja sosialismia vastaan"</f>
        <v>Johannes-Andreas : romaani rakkauden synnistä; rikoksesta Jumalaa ja sosialismia vastaan</v>
      </c>
      <c r="E1281" t="str">
        <f t="shared" si="98"/>
        <v>viro</v>
      </c>
      <c r="F1281" t="str">
        <f>"romaanid; proosa"</f>
        <v>romaanid; proosa</v>
      </c>
      <c r="G1281" t="str">
        <f>"  täiskasvanud"</f>
        <v xml:space="preserve">  täiskasvanud</v>
      </c>
      <c r="H1281" t="str">
        <f t="shared" si="100"/>
        <v>2022</v>
      </c>
      <c r="I1281" t="str">
        <f>"Johannes+Andreas"</f>
        <v>Johannes+Andreas</v>
      </c>
      <c r="J1281" t="str">
        <f>"Mõisnik, Mihkel"</f>
        <v>Mõisnik, Mihkel</v>
      </c>
      <c r="K1281" t="str">
        <f>"Tänapäev, Tallinn"</f>
        <v>Tänapäev, Tallinn</v>
      </c>
      <c r="L1281" t="str">
        <f>""</f>
        <v/>
      </c>
      <c r="M1281" t="str">
        <f>"9789916173220"</f>
        <v>9789916173220</v>
      </c>
    </row>
    <row r="1282" spans="1:13" ht="15">
      <c r="A1282" t="s">
        <v>133</v>
      </c>
      <c r="B1282" t="str">
        <f>"17236"</f>
        <v>17236</v>
      </c>
      <c r="C1282" t="str">
        <f>"2020"</f>
        <v>2020</v>
      </c>
      <c r="D1282" t="str">
        <f>"Pikku hiiren hellekesä"</f>
        <v>Pikku hiiren hellekesä</v>
      </c>
      <c r="E1282" t="str">
        <f t="shared" si="98"/>
        <v>viro</v>
      </c>
      <c r="F1282" t="str">
        <f>"pildiraamatud"</f>
        <v>pildiraamatud</v>
      </c>
      <c r="G1282" t="str">
        <f>" lapsed ja noored"</f>
        <v xml:space="preserve"> lapsed ja noored</v>
      </c>
      <c r="H1282" t="str">
        <f t="shared" si="100"/>
        <v>2022</v>
      </c>
      <c r="I1282" t="str">
        <f>"Väikese hiire suvi"</f>
        <v>Väikese hiire suvi</v>
      </c>
      <c r="J1282" t="str">
        <f>"Oidekivi, Dea"</f>
        <v>Oidekivi, Dea</v>
      </c>
      <c r="K1282" t="str">
        <f>"Rahva Raamat, Tallinn"</f>
        <v>Rahva Raamat, Tallinn</v>
      </c>
      <c r="L1282" t="str">
        <f>""</f>
        <v/>
      </c>
      <c r="M1282" t="str">
        <f>"9789916140925 "</f>
        <v xml:space="preserve">9789916140925 </v>
      </c>
    </row>
    <row r="1283" spans="1:13" ht="15">
      <c r="A1283" t="s">
        <v>138</v>
      </c>
      <c r="B1283" t="str">
        <f>"16847"</f>
        <v>16847</v>
      </c>
      <c r="C1283" t="str">
        <f>"2019"</f>
        <v>2019</v>
      </c>
      <c r="D1283" t="str">
        <f>"Pet agents. 2, Varkaan jäljillä"</f>
        <v>Pet agents. 2, Varkaan jäljillä</v>
      </c>
      <c r="E1283" t="str">
        <f t="shared" si="98"/>
        <v>viro</v>
      </c>
      <c r="F1283" t="str">
        <f>"proosa"</f>
        <v>proosa</v>
      </c>
      <c r="G1283" t="str">
        <f>" lapsed ja noored"</f>
        <v xml:space="preserve"> lapsed ja noored</v>
      </c>
      <c r="H1283" t="str">
        <f t="shared" si="100"/>
        <v>2022</v>
      </c>
      <c r="I1283" t="str">
        <f>"Varga kannul"</f>
        <v>Varga kannul</v>
      </c>
      <c r="J1283" t="str">
        <f>"Klein, Mari"</f>
        <v>Klein, Mari</v>
      </c>
      <c r="K1283" t="str">
        <f>"Rahva Raamat, Tallinn"</f>
        <v>Rahva Raamat, Tallinn</v>
      </c>
      <c r="L1283" t="str">
        <f>""</f>
        <v/>
      </c>
      <c r="M1283" t="str">
        <f>"9789916141243 "</f>
        <v xml:space="preserve">9789916141243 </v>
      </c>
    </row>
    <row r="1284" spans="1:13" ht="15">
      <c r="A1284" t="s">
        <v>139</v>
      </c>
      <c r="B1284" t="str">
        <f>"16847"</f>
        <v>16847</v>
      </c>
      <c r="C1284" t="str">
        <f>"2019"</f>
        <v>2019</v>
      </c>
      <c r="D1284" t="str">
        <f>"Pet agents. 2, Varkaan jäljillä"</f>
        <v>Pet agents. 2, Varkaan jäljillä</v>
      </c>
      <c r="E1284" t="str">
        <f t="shared" si="98"/>
        <v>viro</v>
      </c>
      <c r="F1284" t="str">
        <f>"proosa"</f>
        <v>proosa</v>
      </c>
      <c r="G1284" t="str">
        <f>" lapsed ja noored"</f>
        <v xml:space="preserve"> lapsed ja noored</v>
      </c>
      <c r="H1284" t="str">
        <f t="shared" si="100"/>
        <v>2022</v>
      </c>
      <c r="I1284" t="str">
        <f>"Varga kannul"</f>
        <v>Varga kannul</v>
      </c>
      <c r="J1284" t="str">
        <f>"Klein, Mari"</f>
        <v>Klein, Mari</v>
      </c>
      <c r="K1284" t="str">
        <f>"Rahva Raamat, Tallinn"</f>
        <v>Rahva Raamat, Tallinn</v>
      </c>
      <c r="L1284" t="str">
        <f>""</f>
        <v/>
      </c>
      <c r="M1284" t="str">
        <f>"9789916141243 "</f>
        <v xml:space="preserve">9789916141243 </v>
      </c>
    </row>
    <row r="1285" spans="1:13" ht="15">
      <c r="A1285" t="s">
        <v>160</v>
      </c>
      <c r="B1285" t="str">
        <f>"19580"</f>
        <v>19580</v>
      </c>
      <c r="C1285" t="str">
        <f>"2021"</f>
        <v>2021</v>
      </c>
      <c r="D1285" t="str">
        <f>"Perinnevegeä"</f>
        <v>Perinnevegeä</v>
      </c>
      <c r="E1285" t="str">
        <f t="shared" si="98"/>
        <v>viro</v>
      </c>
      <c r="F1285" t="str">
        <f>""</f>
        <v/>
      </c>
      <c r="G1285" t="str">
        <f>"  täiskasvanud"</f>
        <v xml:space="preserve">  täiskasvanud</v>
      </c>
      <c r="H1285" t="str">
        <f t="shared" si="100"/>
        <v>2022</v>
      </c>
      <c r="I1285" t="str">
        <f>"Taimsed pärimustoidud"</f>
        <v>Taimsed pärimustoidud</v>
      </c>
      <c r="J1285" t="str">
        <f>"Kooli, Piret"</f>
        <v>Kooli, Piret</v>
      </c>
      <c r="K1285" t="str">
        <f>"Varrak, Tallinn"</f>
        <v>Varrak, Tallinn</v>
      </c>
      <c r="L1285" t="str">
        <f>""</f>
        <v/>
      </c>
      <c r="M1285" t="str">
        <f>"9789985354766 "</f>
        <v xml:space="preserve">9789985354766 </v>
      </c>
    </row>
    <row r="1286" spans="1:13" ht="15">
      <c r="A1286" t="s">
        <v>163</v>
      </c>
      <c r="B1286" t="str">
        <f>"18672"</f>
        <v>18672</v>
      </c>
      <c r="C1286" t="str">
        <f>""</f>
        <v/>
      </c>
      <c r="D1286" t="str">
        <f>"Terapiassa"</f>
        <v>Terapiassa</v>
      </c>
      <c r="E1286" t="str">
        <f t="shared" si="98"/>
        <v>viro</v>
      </c>
      <c r="F1286" t="str">
        <f>"romaanid; põnevus- ja krimikirjandus; proosa"</f>
        <v>romaanid; põnevus- ja krimikirjandus; proosa</v>
      </c>
      <c r="G1286" t="str">
        <f>"  täiskasvanud"</f>
        <v xml:space="preserve">  täiskasvanud</v>
      </c>
      <c r="H1286" t="str">
        <f t="shared" si="100"/>
        <v>2022</v>
      </c>
      <c r="I1286" t="str">
        <f>"Liblika kannul"</f>
        <v>Liblika kannul</v>
      </c>
      <c r="J1286" t="str">
        <f>"Liivak, Sander"</f>
        <v>Liivak, Sander</v>
      </c>
      <c r="K1286" t="str">
        <f>"Hea Lugu, Tallinn"</f>
        <v>Hea Lugu, Tallinn</v>
      </c>
      <c r="L1286" t="str">
        <f>""</f>
        <v/>
      </c>
      <c r="M1286" t="str">
        <f>"9789916646786"</f>
        <v>9789916646786</v>
      </c>
    </row>
    <row r="1287" spans="1:13" ht="15">
      <c r="A1287" t="s">
        <v>172</v>
      </c>
      <c r="B1287" t="str">
        <f>"19412"</f>
        <v>19412</v>
      </c>
      <c r="C1287" t="str">
        <f>"2022"</f>
        <v>2022</v>
      </c>
      <c r="D1287" t="str">
        <f>"Jalkapallon musta kirja"</f>
        <v>Jalkapallon musta kirja</v>
      </c>
      <c r="E1287" t="str">
        <f t="shared" si="98"/>
        <v>viro</v>
      </c>
      <c r="F1287" t="str">
        <f>""</f>
        <v/>
      </c>
      <c r="G1287" t="str">
        <f>"  täiskasvanud"</f>
        <v xml:space="preserve">  täiskasvanud</v>
      </c>
      <c r="H1287" t="str">
        <f t="shared" si="100"/>
        <v>2022</v>
      </c>
      <c r="I1287" t="str">
        <f>"Jalgpalli must raamat "</f>
        <v xml:space="preserve">Jalgpalli must raamat </v>
      </c>
      <c r="J1287" t="str">
        <f>"Orntlich, Anne-Mari"</f>
        <v>Orntlich, Anne-Mari</v>
      </c>
      <c r="K1287" t="str">
        <f>"Helios, Tallinn"</f>
        <v>Helios, Tallinn</v>
      </c>
      <c r="L1287" t="str">
        <f>""</f>
        <v/>
      </c>
      <c r="M1287" t="str">
        <f>"9789916711019"</f>
        <v>9789916711019</v>
      </c>
    </row>
    <row r="1288" spans="1:13" ht="15">
      <c r="A1288" t="s">
        <v>177</v>
      </c>
      <c r="B1288" t="str">
        <f>"18839"</f>
        <v>18839</v>
      </c>
      <c r="C1288" t="str">
        <f>"2019"</f>
        <v>2019</v>
      </c>
      <c r="D1288" t="str">
        <f>"Prinsessa Rämäpää ja vessasanat"</f>
        <v>Prinsessa Rämäpää ja vessasanat</v>
      </c>
      <c r="E1288" t="str">
        <f t="shared" si="98"/>
        <v>viro</v>
      </c>
      <c r="F1288" t="str">
        <f>"pildiraamatud"</f>
        <v>pildiraamatud</v>
      </c>
      <c r="G1288" t="str">
        <f>" lapsed ja noored"</f>
        <v xml:space="preserve"> lapsed ja noored</v>
      </c>
      <c r="H1288" t="str">
        <f t="shared" si="100"/>
        <v>2022</v>
      </c>
      <c r="I1288" t="str">
        <f>"Printsess Võrukaela vetsuloits "</f>
        <v xml:space="preserve">Printsess Võrukaela vetsuloits </v>
      </c>
      <c r="J1288" t="str">
        <f>"Juursoo, Lauri"</f>
        <v>Juursoo, Lauri</v>
      </c>
      <c r="K1288" t="str">
        <f>"Elust Enesest, Tallinn"</f>
        <v>Elust Enesest, Tallinn</v>
      </c>
      <c r="L1288" t="str">
        <f>""</f>
        <v/>
      </c>
      <c r="M1288" t="str">
        <f>"9789916975794 "</f>
        <v xml:space="preserve">9789916975794 </v>
      </c>
    </row>
    <row r="1289" spans="1:13" ht="15">
      <c r="A1289" t="s">
        <v>178</v>
      </c>
      <c r="B1289" t="str">
        <f>"18839"</f>
        <v>18839</v>
      </c>
      <c r="C1289" t="str">
        <f>"2019"</f>
        <v>2019</v>
      </c>
      <c r="D1289" t="str">
        <f>"Prinsessa Rämäpää ja vessasanat"</f>
        <v>Prinsessa Rämäpää ja vessasanat</v>
      </c>
      <c r="E1289" t="str">
        <f t="shared" si="98"/>
        <v>viro</v>
      </c>
      <c r="F1289" t="str">
        <f>"pildiraamatud"</f>
        <v>pildiraamatud</v>
      </c>
      <c r="G1289" t="str">
        <f>" lapsed ja noored"</f>
        <v xml:space="preserve"> lapsed ja noored</v>
      </c>
      <c r="H1289" t="str">
        <f t="shared" si="100"/>
        <v>2022</v>
      </c>
      <c r="I1289" t="str">
        <f>"Printsess Võrukaela vetsuloits "</f>
        <v xml:space="preserve">Printsess Võrukaela vetsuloits </v>
      </c>
      <c r="J1289" t="str">
        <f>"Juursoo, Lauri"</f>
        <v>Juursoo, Lauri</v>
      </c>
      <c r="K1289" t="str">
        <f>"Elust Enesest, Tallinn"</f>
        <v>Elust Enesest, Tallinn</v>
      </c>
      <c r="L1289" t="str">
        <f>""</f>
        <v/>
      </c>
      <c r="M1289" t="str">
        <f>"9789916975794 "</f>
        <v xml:space="preserve">9789916975794 </v>
      </c>
    </row>
    <row r="1290" spans="1:13" ht="15">
      <c r="A1290" t="s">
        <v>183</v>
      </c>
      <c r="B1290" t="str">
        <f>"17969"</f>
        <v>17969</v>
      </c>
      <c r="C1290" t="str">
        <f>"2020"</f>
        <v>2020</v>
      </c>
      <c r="D1290" t="str">
        <f>"Ei kertonut katuvansa"</f>
        <v>Ei kertonut katuvansa</v>
      </c>
      <c r="E1290" t="str">
        <f t="shared" si="98"/>
        <v>viro</v>
      </c>
      <c r="F1290" t="str">
        <f>"romaanid; proosa"</f>
        <v>romaanid; proosa</v>
      </c>
      <c r="G1290" t="str">
        <f>"  täiskasvanud"</f>
        <v xml:space="preserve">  täiskasvanud</v>
      </c>
      <c r="H1290" t="str">
        <f t="shared" si="100"/>
        <v>2022</v>
      </c>
      <c r="I1290" t="str">
        <f>"Ei öelnud, et kahetseb"</f>
        <v>Ei öelnud, et kahetseb</v>
      </c>
      <c r="J1290" t="str">
        <f>"Kaus, Jan"</f>
        <v>Kaus, Jan</v>
      </c>
      <c r="K1290" t="str">
        <f>"Varrak, Tallinn"</f>
        <v>Varrak, Tallinn</v>
      </c>
      <c r="L1290" t="str">
        <f>""</f>
        <v/>
      </c>
      <c r="M1290" t="str">
        <f>"9789985353707"</f>
        <v>9789985353707</v>
      </c>
    </row>
    <row r="1291" spans="1:13" ht="15">
      <c r="A1291" t="s">
        <v>184</v>
      </c>
      <c r="B1291" t="str">
        <f>"19577"</f>
        <v>19577</v>
      </c>
      <c r="C1291" t="str">
        <f>"2013"</f>
        <v>2013</v>
      </c>
      <c r="D1291" t="str">
        <f>"Molli"</f>
        <v>Molli</v>
      </c>
      <c r="E1291" t="str">
        <f t="shared" si="98"/>
        <v>viro</v>
      </c>
      <c r="F1291" t="str">
        <f>"pildiraamatud"</f>
        <v>pildiraamatud</v>
      </c>
      <c r="G1291" t="str">
        <f>" lapsed ja noored"</f>
        <v xml:space="preserve"> lapsed ja noored</v>
      </c>
      <c r="H1291" t="str">
        <f t="shared" si="100"/>
        <v>2022</v>
      </c>
      <c r="I1291" t="str">
        <f>"Molli"</f>
        <v>Molli</v>
      </c>
      <c r="J1291" t="str">
        <f>"Rüütel, Jaak"</f>
        <v>Rüütel, Jaak</v>
      </c>
      <c r="K1291" t="str">
        <f>"Helios, Tallinn"</f>
        <v>Helios, Tallinn</v>
      </c>
      <c r="L1291" t="str">
        <f>""</f>
        <v/>
      </c>
      <c r="M1291" t="str">
        <f>"9789916656914 "</f>
        <v xml:space="preserve">9789916656914 </v>
      </c>
    </row>
    <row r="1292" spans="1:13" ht="15">
      <c r="A1292" t="s">
        <v>184</v>
      </c>
      <c r="B1292" t="str">
        <f>"18761"</f>
        <v>18761</v>
      </c>
      <c r="C1292" t="str">
        <f>"2021"</f>
        <v>2021</v>
      </c>
      <c r="D1292" t="str">
        <f>"Molli ja salaperäinen Suttu"</f>
        <v>Molli ja salaperäinen Suttu</v>
      </c>
      <c r="E1292" t="str">
        <f aca="true" t="shared" si="101" ref="E1292:E1334">"viro"</f>
        <v>viro</v>
      </c>
      <c r="F1292" t="str">
        <f>"pildiraamatud"</f>
        <v>pildiraamatud</v>
      </c>
      <c r="G1292" t="str">
        <f>" lapsed ja noored"</f>
        <v xml:space="preserve"> lapsed ja noored</v>
      </c>
      <c r="H1292" t="str">
        <f t="shared" si="100"/>
        <v>2022</v>
      </c>
      <c r="I1292" t="str">
        <f>"Molli ja salapärane Pusa"</f>
        <v>Molli ja salapärane Pusa</v>
      </c>
      <c r="J1292" t="str">
        <f>"Aimla-Laid, Triin"</f>
        <v>Aimla-Laid, Triin</v>
      </c>
      <c r="K1292" t="str">
        <f>"Helios, Tallinn"</f>
        <v>Helios, Tallinn</v>
      </c>
      <c r="L1292" t="str">
        <f>""</f>
        <v/>
      </c>
      <c r="M1292" t="str">
        <f>"9789916656594"</f>
        <v>9789916656594</v>
      </c>
    </row>
    <row r="1293" spans="1:13" ht="15">
      <c r="A1293" t="s">
        <v>196</v>
      </c>
      <c r="B1293" t="str">
        <f>"19574"</f>
        <v>19574</v>
      </c>
      <c r="C1293" t="str">
        <f>"2022"</f>
        <v>2022</v>
      </c>
      <c r="D1293" t="str">
        <f>"Mollin lähtö"</f>
        <v>Mollin lähtö</v>
      </c>
      <c r="E1293" t="str">
        <f t="shared" si="101"/>
        <v>viro</v>
      </c>
      <c r="F1293" t="str">
        <f>"pildiraamatud"</f>
        <v>pildiraamatud</v>
      </c>
      <c r="G1293" t="str">
        <f>" lapsed ja noored"</f>
        <v xml:space="preserve"> lapsed ja noored</v>
      </c>
      <c r="H1293" t="str">
        <f t="shared" si="100"/>
        <v>2022</v>
      </c>
      <c r="I1293" t="str">
        <f>"Molli lahkumine"</f>
        <v>Molli lahkumine</v>
      </c>
      <c r="J1293" t="str">
        <f>"Juursoo, Lauri"</f>
        <v>Juursoo, Lauri</v>
      </c>
      <c r="K1293" t="str">
        <f>"Elust Enesest, Tallinn"</f>
        <v>Elust Enesest, Tallinn</v>
      </c>
      <c r="L1293" t="str">
        <f>""</f>
        <v/>
      </c>
      <c r="M1293" t="str">
        <f>"9789916975749 "</f>
        <v xml:space="preserve">9789916975749 </v>
      </c>
    </row>
    <row r="1294" spans="1:13" ht="15">
      <c r="A1294" t="s">
        <v>227</v>
      </c>
      <c r="B1294" t="str">
        <f>"19350"</f>
        <v>19350</v>
      </c>
      <c r="C1294" t="str">
        <f>"2018"</f>
        <v>2018</v>
      </c>
      <c r="D1294" t="str">
        <f>"Sömnö"</f>
        <v>Sömnö</v>
      </c>
      <c r="E1294" t="str">
        <f t="shared" si="101"/>
        <v>viro</v>
      </c>
      <c r="F1294" t="str">
        <f>"romaanid; proosa"</f>
        <v>romaanid; proosa</v>
      </c>
      <c r="G1294" t="str">
        <f>"  täiskasvanud"</f>
        <v xml:space="preserve">  täiskasvanud</v>
      </c>
      <c r="H1294" t="str">
        <f t="shared" si="100"/>
        <v>2022</v>
      </c>
      <c r="I1294" t="str">
        <f>"Unessaar"</f>
        <v>Unessaar</v>
      </c>
      <c r="J1294" t="str">
        <f>"Kaus, Jan"</f>
        <v>Kaus, Jan</v>
      </c>
      <c r="K1294" t="str">
        <f>"Postimees, Tallinn"</f>
        <v>Postimees, Tallinn</v>
      </c>
      <c r="L1294" t="str">
        <f>""</f>
        <v/>
      </c>
      <c r="M1294" t="str">
        <f>"9789916698754 "</f>
        <v xml:space="preserve">9789916698754 </v>
      </c>
    </row>
    <row r="1295" spans="1:13" ht="15">
      <c r="A1295" t="s">
        <v>228</v>
      </c>
      <c r="B1295" t="str">
        <f>"19343"</f>
        <v>19343</v>
      </c>
      <c r="C1295" t="str">
        <f>"2021"</f>
        <v>2021</v>
      </c>
      <c r="D1295" t="str">
        <f>"Suomen ämminkäiset värikuvina : otusbongaajan opas"</f>
        <v>Suomen ämminkäiset värikuvina : otusbongaajan opas</v>
      </c>
      <c r="E1295" t="str">
        <f t="shared" si="101"/>
        <v>viro</v>
      </c>
      <c r="F1295" t="str">
        <f>"pildiraamatud"</f>
        <v>pildiraamatud</v>
      </c>
      <c r="G1295" t="str">
        <f>" lapsed ja noored"</f>
        <v xml:space="preserve"> lapsed ja noored</v>
      </c>
      <c r="H1295" t="str">
        <f aca="true" t="shared" si="102" ref="H1295:H1326">"2022"</f>
        <v>2022</v>
      </c>
      <c r="I1295" t="str">
        <f>"Eesti umbulakud värvipiltides"</f>
        <v>Eesti umbulakud värvipiltides</v>
      </c>
      <c r="J1295" t="str">
        <f>"Juursoo, Lauri"</f>
        <v>Juursoo, Lauri</v>
      </c>
      <c r="K1295" t="str">
        <f>"Elust Enesest, Tallinn"</f>
        <v>Elust Enesest, Tallinn</v>
      </c>
      <c r="L1295" t="str">
        <f>""</f>
        <v/>
      </c>
      <c r="M1295" t="str">
        <f>"9789916982600 "</f>
        <v xml:space="preserve">9789916982600 </v>
      </c>
    </row>
    <row r="1296" spans="1:13" ht="15">
      <c r="A1296" t="s">
        <v>234</v>
      </c>
      <c r="B1296" t="str">
        <f>"19581"</f>
        <v>19581</v>
      </c>
      <c r="C1296" t="str">
        <f>"2021"</f>
        <v>2021</v>
      </c>
      <c r="D1296" t="str">
        <f>"Villasukkien valtakunta"</f>
        <v>Villasukkien valtakunta</v>
      </c>
      <c r="E1296" t="str">
        <f t="shared" si="101"/>
        <v>viro</v>
      </c>
      <c r="F1296" t="str">
        <f>""</f>
        <v/>
      </c>
      <c r="G1296" t="str">
        <f>"  täiskasvanud"</f>
        <v xml:space="preserve">  täiskasvanud</v>
      </c>
      <c r="H1296" t="str">
        <f t="shared" si="102"/>
        <v>2022</v>
      </c>
      <c r="I1296" t="str">
        <f>"Villaste sokkide maailm"</f>
        <v>Villaste sokkide maailm</v>
      </c>
      <c r="J1296" t="str">
        <f>"Plado, Helen"</f>
        <v>Plado, Helen</v>
      </c>
      <c r="K1296" t="str">
        <f>"Tänapäev, Tallinn"</f>
        <v>Tänapäev, Tallinn</v>
      </c>
      <c r="L1296" t="str">
        <f>""</f>
        <v/>
      </c>
      <c r="M1296" t="str">
        <f>"9789916173152"</f>
        <v>9789916173152</v>
      </c>
    </row>
    <row r="1297" spans="1:13" ht="15">
      <c r="A1297" t="s">
        <v>245</v>
      </c>
      <c r="B1297" t="str">
        <f>"18596"</f>
        <v>18596</v>
      </c>
      <c r="C1297" t="str">
        <f>"2021"</f>
        <v>2021</v>
      </c>
      <c r="D1297" t="str">
        <f>"Plats på jorden"</f>
        <v>Plats på jorden</v>
      </c>
      <c r="E1297" t="str">
        <f t="shared" si="101"/>
        <v>viro</v>
      </c>
      <c r="F1297" t="str">
        <f>"pildiraamatud"</f>
        <v>pildiraamatud</v>
      </c>
      <c r="G1297" t="str">
        <f>" lapsed ja noored"</f>
        <v xml:space="preserve"> lapsed ja noored</v>
      </c>
      <c r="H1297" t="str">
        <f t="shared" si="102"/>
        <v>2022</v>
      </c>
      <c r="I1297" t="str">
        <f>"Salajane aed"</f>
        <v>Salajane aed</v>
      </c>
      <c r="J1297" t="str">
        <f>"Sooneste, Allar"</f>
        <v>Sooneste, Allar</v>
      </c>
      <c r="K1297" t="str">
        <f>"Ühinenud Ajakirjad, Tallinn"</f>
        <v>Ühinenud Ajakirjad, Tallinn</v>
      </c>
      <c r="L1297" t="str">
        <f>""</f>
        <v/>
      </c>
      <c r="M1297" t="str">
        <f>"9789916694282 "</f>
        <v xml:space="preserve">9789916694282 </v>
      </c>
    </row>
    <row r="1298" spans="1:13" ht="15">
      <c r="A1298" t="s">
        <v>247</v>
      </c>
      <c r="B1298" t="str">
        <f>"18884"</f>
        <v>18884</v>
      </c>
      <c r="C1298" t="str">
        <f>"2021"</f>
        <v>2021</v>
      </c>
      <c r="D1298" t="str">
        <f>"Kauneimmat kukkamme"</f>
        <v>Kauneimmat kukkamme</v>
      </c>
      <c r="E1298" t="str">
        <f t="shared" si="101"/>
        <v>viro</v>
      </c>
      <c r="F1298" t="str">
        <f>""</f>
        <v/>
      </c>
      <c r="G1298" t="str">
        <f>" lapsed ja noored"</f>
        <v xml:space="preserve"> lapsed ja noored</v>
      </c>
      <c r="H1298" t="str">
        <f t="shared" si="102"/>
        <v>2022</v>
      </c>
      <c r="I1298" t="str">
        <f>"Mis õis?"</f>
        <v>Mis õis?</v>
      </c>
      <c r="J1298" t="str">
        <f>"Juursoo, Lauri"</f>
        <v>Juursoo, Lauri</v>
      </c>
      <c r="K1298" t="str">
        <f>"Elust Enesest, Tallinn"</f>
        <v>Elust Enesest, Tallinn</v>
      </c>
      <c r="L1298" t="str">
        <f>""</f>
        <v/>
      </c>
      <c r="M1298" t="str">
        <f>"978-9949-7441-8-3"</f>
        <v>978-9949-7441-8-3</v>
      </c>
    </row>
    <row r="1299" spans="1:13" ht="15">
      <c r="A1299" t="s">
        <v>247</v>
      </c>
      <c r="B1299" t="str">
        <f>"18885"</f>
        <v>18885</v>
      </c>
      <c r="C1299" t="str">
        <f>"2022"</f>
        <v>2022</v>
      </c>
      <c r="D1299" t="str">
        <f>"Kimalaiskuoriainen löytää vastauksen"</f>
        <v>Kimalaiskuoriainen löytää vastauksen</v>
      </c>
      <c r="E1299" t="str">
        <f t="shared" si="101"/>
        <v>viro</v>
      </c>
      <c r="F1299" t="str">
        <f>""</f>
        <v/>
      </c>
      <c r="G1299" t="str">
        <f>" lapsed ja noored"</f>
        <v xml:space="preserve"> lapsed ja noored</v>
      </c>
      <c r="H1299" t="str">
        <f t="shared" si="102"/>
        <v>2022</v>
      </c>
      <c r="I1299" t="str">
        <f>"Karuspõrnikas otsib vastust"</f>
        <v>Karuspõrnikas otsib vastust</v>
      </c>
      <c r="J1299" t="str">
        <f>"Juursoo, Lauri"</f>
        <v>Juursoo, Lauri</v>
      </c>
      <c r="K1299" t="str">
        <f>"Elust Enesest, Tallinn"</f>
        <v>Elust Enesest, Tallinn</v>
      </c>
      <c r="L1299" t="str">
        <f>""</f>
        <v/>
      </c>
      <c r="M1299" t="str">
        <f>"9789916975718"</f>
        <v>9789916975718</v>
      </c>
    </row>
    <row r="1300" spans="1:13" ht="15">
      <c r="A1300" t="s">
        <v>254</v>
      </c>
      <c r="B1300" t="str">
        <f>"19093"</f>
        <v>19093</v>
      </c>
      <c r="C1300" t="str">
        <f>""</f>
        <v/>
      </c>
      <c r="D1300" t="str">
        <f>""</f>
        <v/>
      </c>
      <c r="E1300" t="str">
        <f t="shared" si="101"/>
        <v>viro</v>
      </c>
      <c r="F1300" t="str">
        <f>"lühiproosa; tieteiskirjallisuus; proosa"</f>
        <v>lühiproosa; tieteiskirjallisuus; proosa</v>
      </c>
      <c r="G1300" t="str">
        <f>"  täiskasvanud"</f>
        <v xml:space="preserve">  täiskasvanud</v>
      </c>
      <c r="H1300" t="str">
        <f t="shared" si="102"/>
        <v>2022</v>
      </c>
      <c r="I1300" t="str">
        <f>"Musträstas : ulmekogumik "</f>
        <v xml:space="preserve">Musträstas : ulmekogumik </v>
      </c>
      <c r="J1300" t="str">
        <f>"Nikkarev, Arvi"</f>
        <v>Nikkarev, Arvi</v>
      </c>
      <c r="K1300" t="str">
        <f>"Skarabeus, Saue"</f>
        <v>Skarabeus, Saue</v>
      </c>
      <c r="L1300" t="str">
        <f>""</f>
        <v/>
      </c>
      <c r="M1300" t="str">
        <f>"9789916966310"</f>
        <v>9789916966310</v>
      </c>
    </row>
    <row r="1301" spans="1:13" ht="15">
      <c r="A1301" t="s">
        <v>265</v>
      </c>
      <c r="B1301" t="str">
        <f>"18740"</f>
        <v>18740</v>
      </c>
      <c r="C1301" t="str">
        <f>"2021"</f>
        <v>2021</v>
      </c>
      <c r="D1301" t="str">
        <f>"Fuck you Liivik"</f>
        <v>Fuck you Liivik</v>
      </c>
      <c r="E1301" t="str">
        <f t="shared" si="101"/>
        <v>viro</v>
      </c>
      <c r="F1301" t="str">
        <f>""</f>
        <v/>
      </c>
      <c r="G1301" t="str">
        <f>"  täiskasvanud"</f>
        <v xml:space="preserve">  täiskasvanud</v>
      </c>
      <c r="H1301" t="str">
        <f t="shared" si="102"/>
        <v>2022</v>
      </c>
      <c r="I1301" t="str">
        <f>"Fuck you Liivik"</f>
        <v>Fuck you Liivik</v>
      </c>
      <c r="J1301" t="str">
        <f>"Leek, Ave"</f>
        <v>Leek, Ave</v>
      </c>
      <c r="K1301" t="str">
        <f>"Varrak, Tallinn"</f>
        <v>Varrak, Tallinn</v>
      </c>
      <c r="L1301" t="str">
        <f>""</f>
        <v/>
      </c>
      <c r="M1301" t="str">
        <f>"9789985355633 "</f>
        <v xml:space="preserve">9789985355633 </v>
      </c>
    </row>
    <row r="1302" spans="1:13" ht="15">
      <c r="A1302" t="s">
        <v>266</v>
      </c>
      <c r="B1302" t="str">
        <f>"19098"</f>
        <v>19098</v>
      </c>
      <c r="C1302" t="str">
        <f>"2011"</f>
        <v>2011</v>
      </c>
      <c r="D1302" t="str">
        <f>"Hytti nro 6 : kertomus"</f>
        <v>Hytti nro 6 : kertomus</v>
      </c>
      <c r="E1302" t="str">
        <f t="shared" si="101"/>
        <v>viro</v>
      </c>
      <c r="F1302" t="str">
        <f>"romaanid; proosa"</f>
        <v>romaanid; proosa</v>
      </c>
      <c r="G1302" t="str">
        <f>"  täiskasvanud"</f>
        <v xml:space="preserve">  täiskasvanud</v>
      </c>
      <c r="H1302" t="str">
        <f t="shared" si="102"/>
        <v>2022</v>
      </c>
      <c r="I1302" t="str">
        <f>"Kupee nr 6"</f>
        <v>Kupee nr 6</v>
      </c>
      <c r="J1302" t="str">
        <f>"Jaanits, Kadri"</f>
        <v>Jaanits, Kadri</v>
      </c>
      <c r="K1302" t="str">
        <f>"Koolibri, Tallinn"</f>
        <v>Koolibri, Tallinn</v>
      </c>
      <c r="L1302" t="str">
        <f>"2. p."</f>
        <v>2. p.</v>
      </c>
      <c r="M1302" t="str">
        <f>"9789985048252"</f>
        <v>9789985048252</v>
      </c>
    </row>
    <row r="1303" spans="1:13" ht="15">
      <c r="A1303" t="s">
        <v>269</v>
      </c>
      <c r="B1303" t="str">
        <f>"17728"</f>
        <v>17728</v>
      </c>
      <c r="C1303" t="str">
        <f>"2018"</f>
        <v>2018</v>
      </c>
      <c r="D1303" t="str">
        <f>"Vihainen leski"</f>
        <v>Vihainen leski</v>
      </c>
      <c r="E1303" t="str">
        <f t="shared" si="101"/>
        <v>viro</v>
      </c>
      <c r="F1303" t="str">
        <f>"romaanid; proosa"</f>
        <v>romaanid; proosa</v>
      </c>
      <c r="G1303" t="str">
        <f>"  täiskasvanud"</f>
        <v xml:space="preserve">  täiskasvanud</v>
      </c>
      <c r="H1303" t="str">
        <f t="shared" si="102"/>
        <v>2022</v>
      </c>
      <c r="I1303" t="str">
        <f>"Raevukas lesk"</f>
        <v>Raevukas lesk</v>
      </c>
      <c r="J1303" t="str">
        <f>"Tarum, Ülle"</f>
        <v>Tarum, Ülle</v>
      </c>
      <c r="K1303" t="str">
        <f>"Pegasus, Tallinn"</f>
        <v>Pegasus, Tallinn</v>
      </c>
      <c r="L1303" t="str">
        <f>""</f>
        <v/>
      </c>
      <c r="M1303" t="str">
        <f>"9789916160947"</f>
        <v>9789916160947</v>
      </c>
    </row>
    <row r="1304" spans="1:13" ht="15">
      <c r="A1304" t="s">
        <v>280</v>
      </c>
      <c r="B1304" t="str">
        <f>"19580"</f>
        <v>19580</v>
      </c>
      <c r="C1304" t="str">
        <f>"2021"</f>
        <v>2021</v>
      </c>
      <c r="D1304" t="str">
        <f>"Perinnevegeä"</f>
        <v>Perinnevegeä</v>
      </c>
      <c r="E1304" t="str">
        <f t="shared" si="101"/>
        <v>viro</v>
      </c>
      <c r="F1304" t="str">
        <f>""</f>
        <v/>
      </c>
      <c r="G1304" t="str">
        <f>"  täiskasvanud"</f>
        <v xml:space="preserve">  täiskasvanud</v>
      </c>
      <c r="H1304" t="str">
        <f t="shared" si="102"/>
        <v>2022</v>
      </c>
      <c r="I1304" t="str">
        <f>"Taimsed pärimustoidud"</f>
        <v>Taimsed pärimustoidud</v>
      </c>
      <c r="J1304" t="str">
        <f>"Kooli, Piret"</f>
        <v>Kooli, Piret</v>
      </c>
      <c r="K1304" t="str">
        <f>"Varrak, Tallinn"</f>
        <v>Varrak, Tallinn</v>
      </c>
      <c r="L1304" t="str">
        <f>""</f>
        <v/>
      </c>
      <c r="M1304" t="str">
        <f>"9789985354766 "</f>
        <v xml:space="preserve">9789985354766 </v>
      </c>
    </row>
    <row r="1305" spans="1:13" ht="15">
      <c r="A1305" t="s">
        <v>282</v>
      </c>
      <c r="B1305" t="str">
        <f>"19238"</f>
        <v>19238</v>
      </c>
      <c r="C1305" t="str">
        <f>"2020"</f>
        <v>2020</v>
      </c>
      <c r="D1305" t="str">
        <f>"Tallinnan terminaattori : Olev Annuksen tarina"</f>
        <v>Tallinnan terminaattori : Olev Annuksen tarina</v>
      </c>
      <c r="E1305" t="str">
        <f t="shared" si="101"/>
        <v>viro</v>
      </c>
      <c r="F1305" t="str">
        <f>""</f>
        <v/>
      </c>
      <c r="G1305" t="str">
        <f>"  täiskasvanud"</f>
        <v xml:space="preserve">  täiskasvanud</v>
      </c>
      <c r="H1305" t="str">
        <f t="shared" si="102"/>
        <v>2022</v>
      </c>
      <c r="I1305" t="str">
        <f>"Tallinna Terminaator"</f>
        <v>Tallinna Terminaator</v>
      </c>
      <c r="J1305" t="str">
        <f>"Välek OÜ, "</f>
        <v xml:space="preserve">Välek OÜ, </v>
      </c>
      <c r="K1305" t="str">
        <f>"Interneed, Tallinn"</f>
        <v>Interneed, Tallinn</v>
      </c>
      <c r="L1305" t="str">
        <f>""</f>
        <v/>
      </c>
      <c r="M1305" t="str">
        <f>"9789949724512"</f>
        <v>9789949724512</v>
      </c>
    </row>
    <row r="1306" spans="1:13" ht="15">
      <c r="A1306" t="s">
        <v>283</v>
      </c>
      <c r="B1306" t="str">
        <f>"19064"</f>
        <v>19064</v>
      </c>
      <c r="C1306" t="str">
        <f>"2022"</f>
        <v>2022</v>
      </c>
      <c r="D1306" t="str">
        <f>"Onnellisten saari"</f>
        <v>Onnellisten saari</v>
      </c>
      <c r="E1306" t="str">
        <f t="shared" si="101"/>
        <v>viro</v>
      </c>
      <c r="F1306" t="str">
        <f>"romaanid; põnevus- ja krimikirjandus; proosa"</f>
        <v>romaanid; põnevus- ja krimikirjandus; proosa</v>
      </c>
      <c r="G1306" t="str">
        <f>"  täiskasvanud"</f>
        <v xml:space="preserve">  täiskasvanud</v>
      </c>
      <c r="H1306" t="str">
        <f t="shared" si="102"/>
        <v>2022</v>
      </c>
      <c r="I1306" t="str">
        <f>"Õnnesaar "</f>
        <v xml:space="preserve">Õnnesaar </v>
      </c>
      <c r="J1306" t="str">
        <f>"Tarum, Ülle"</f>
        <v>Tarum, Ülle</v>
      </c>
      <c r="K1306" t="str">
        <f>"Hea Lugu, Tallinn"</f>
        <v>Hea Lugu, Tallinn</v>
      </c>
      <c r="L1306" t="str">
        <f>""</f>
        <v/>
      </c>
      <c r="M1306" t="str">
        <f>"9789916702239"</f>
        <v>9789916702239</v>
      </c>
    </row>
    <row r="1307" spans="1:13" ht="15">
      <c r="A1307" t="s">
        <v>294</v>
      </c>
      <c r="B1307" t="str">
        <f>"19739"</f>
        <v>19739</v>
      </c>
      <c r="C1307" t="str">
        <f>"2021"</f>
        <v>2021</v>
      </c>
      <c r="D1307" t="str">
        <f>"Pikku pikku noitani"</f>
        <v>Pikku pikku noitani</v>
      </c>
      <c r="E1307" t="str">
        <f t="shared" si="101"/>
        <v>viro</v>
      </c>
      <c r="F1307" t="str">
        <f>"pildiraamatud"</f>
        <v>pildiraamatud</v>
      </c>
      <c r="G1307" t="str">
        <f>" lapsed ja noored"</f>
        <v xml:space="preserve"> lapsed ja noored</v>
      </c>
      <c r="H1307" t="str">
        <f t="shared" si="102"/>
        <v>2022</v>
      </c>
      <c r="I1307" t="str">
        <f>"Mu tilluke nõid"</f>
        <v>Mu tilluke nõid</v>
      </c>
      <c r="J1307" t="str">
        <f>"Tael, Triin"</f>
        <v>Tael, Triin</v>
      </c>
      <c r="K1307" t="str">
        <f>"Ühinenud Ajakirjad, Tallinn"</f>
        <v>Ühinenud Ajakirjad, Tallinn</v>
      </c>
      <c r="L1307" t="str">
        <f>""</f>
        <v/>
      </c>
      <c r="M1307" t="str">
        <f>"9789916694985 "</f>
        <v xml:space="preserve">9789916694985 </v>
      </c>
    </row>
    <row r="1308" spans="1:13" ht="15">
      <c r="A1308" t="s">
        <v>303</v>
      </c>
      <c r="B1308" t="str">
        <f>"18472"</f>
        <v>18472</v>
      </c>
      <c r="C1308" t="str">
        <f>"2010"</f>
        <v>2010</v>
      </c>
      <c r="D1308" t="str">
        <f>"Resa med rabatt : om konsten att vara pensionär"</f>
        <v>Resa med rabatt : om konsten att vara pensionär</v>
      </c>
      <c r="E1308" t="str">
        <f t="shared" si="101"/>
        <v>viro</v>
      </c>
      <c r="F1308" t="str">
        <f>"esseet; proosa"</f>
        <v>esseet; proosa</v>
      </c>
      <c r="G1308" t="str">
        <f>"  täiskasvanud"</f>
        <v xml:space="preserve">  täiskasvanud</v>
      </c>
      <c r="H1308" t="str">
        <f t="shared" si="102"/>
        <v>2022</v>
      </c>
      <c r="I1308" t="str">
        <f>"Soodushinnaga sõit"</f>
        <v>Soodushinnaga sõit</v>
      </c>
      <c r="J1308" t="str">
        <f>"Haasma, Kadi-Riin"</f>
        <v>Haasma, Kadi-Riin</v>
      </c>
      <c r="K1308" t="str">
        <f>"Varrak, Tallinn"</f>
        <v>Varrak, Tallinn</v>
      </c>
      <c r="L1308" t="str">
        <f>""</f>
        <v/>
      </c>
      <c r="M1308" t="str">
        <f>"9789985353905"</f>
        <v>9789985353905</v>
      </c>
    </row>
    <row r="1309" spans="1:13" ht="15">
      <c r="A1309" t="s">
        <v>304</v>
      </c>
      <c r="B1309" t="str">
        <f>"18593"</f>
        <v>18593</v>
      </c>
      <c r="C1309" t="str">
        <f>"2020"</f>
        <v>2020</v>
      </c>
      <c r="D1309" t="str">
        <f>"Kamarineitsyt"</f>
        <v>Kamarineitsyt</v>
      </c>
      <c r="E1309" t="str">
        <f t="shared" si="101"/>
        <v>viro</v>
      </c>
      <c r="F1309" t="str">
        <f>"romaanid; proosa"</f>
        <v>romaanid; proosa</v>
      </c>
      <c r="G1309" t="str">
        <f>"  täiskasvanud"</f>
        <v xml:space="preserve">  täiskasvanud</v>
      </c>
      <c r="H1309" t="str">
        <f t="shared" si="102"/>
        <v>2022</v>
      </c>
      <c r="I1309" t="str">
        <f>"Kammerneitsi "</f>
        <v xml:space="preserve">Kammerneitsi </v>
      </c>
      <c r="J1309" t="str">
        <f>"Pääsuke, Piret"</f>
        <v>Pääsuke, Piret</v>
      </c>
      <c r="K1309" t="str">
        <f>"Varrak, Tallinn"</f>
        <v>Varrak, Tallinn</v>
      </c>
      <c r="L1309" t="str">
        <f>""</f>
        <v/>
      </c>
      <c r="M1309" t="str">
        <f>"9789985354520 "</f>
        <v xml:space="preserve">9789985354520 </v>
      </c>
    </row>
    <row r="1310" spans="1:13" ht="15">
      <c r="A1310" t="s">
        <v>310</v>
      </c>
      <c r="B1310" t="str">
        <f>"18537"</f>
        <v>18537</v>
      </c>
      <c r="C1310" t="str">
        <f>"2019"</f>
        <v>2019</v>
      </c>
      <c r="D1310" t="str">
        <f>"Englantilainen romanssi"</f>
        <v>Englantilainen romanssi</v>
      </c>
      <c r="E1310" t="str">
        <f t="shared" si="101"/>
        <v>viro</v>
      </c>
      <c r="F1310" t="str">
        <f>"romaanid; proosa"</f>
        <v>romaanid; proosa</v>
      </c>
      <c r="G1310" t="str">
        <f>"  täiskasvanud"</f>
        <v xml:space="preserve">  täiskasvanud</v>
      </c>
      <c r="H1310" t="str">
        <f t="shared" si="102"/>
        <v>2022</v>
      </c>
      <c r="I1310" t="str">
        <f>"Inglise romanss "</f>
        <v xml:space="preserve">Inglise romanss </v>
      </c>
      <c r="J1310" t="str">
        <f>"Aimla-Laid, Triin"</f>
        <v>Aimla-Laid, Triin</v>
      </c>
      <c r="K1310" t="str">
        <f>"Rahva Raamat, Tallinn"</f>
        <v>Rahva Raamat, Tallinn</v>
      </c>
      <c r="L1310" t="str">
        <f>""</f>
        <v/>
      </c>
      <c r="M1310" t="str">
        <f>"9789916141151 epub"</f>
        <v>9789916141151 epub</v>
      </c>
    </row>
    <row r="1311" spans="1:13" ht="15">
      <c r="A1311" t="s">
        <v>335</v>
      </c>
      <c r="B1311" t="str">
        <f>"17856"</f>
        <v>17856</v>
      </c>
      <c r="C1311" t="str">
        <f>"2016"</f>
        <v>2016</v>
      </c>
      <c r="D1311" t="str">
        <f>"Juurihoito"</f>
        <v>Juurihoito</v>
      </c>
      <c r="E1311" t="str">
        <f t="shared" si="101"/>
        <v>viro</v>
      </c>
      <c r="F1311" t="str">
        <f>"romaanid; proosa"</f>
        <v>romaanid; proosa</v>
      </c>
      <c r="G1311" t="str">
        <f>"  täiskasvanud"</f>
        <v xml:space="preserve">  täiskasvanud</v>
      </c>
      <c r="H1311" t="str">
        <f t="shared" si="102"/>
        <v>2022</v>
      </c>
      <c r="I1311" t="str">
        <f>"Juureravi"</f>
        <v>Juureravi</v>
      </c>
      <c r="J1311" t="str">
        <f>"Aimla-Laid, Triin"</f>
        <v>Aimla-Laid, Triin</v>
      </c>
      <c r="K1311" t="str">
        <f>"Eesti Raamat, Tallinn"</f>
        <v>Eesti Raamat, Tallinn</v>
      </c>
      <c r="L1311" t="str">
        <f>""</f>
        <v/>
      </c>
      <c r="M1311" t="str">
        <f>"9789916122730"</f>
        <v>9789916122730</v>
      </c>
    </row>
    <row r="1312" spans="1:13" ht="15">
      <c r="A1312" t="s">
        <v>335</v>
      </c>
      <c r="B1312" t="str">
        <f>"17855"</f>
        <v>17855</v>
      </c>
      <c r="C1312" t="str">
        <f>"2020"</f>
        <v>2020</v>
      </c>
      <c r="D1312" t="str">
        <f>"Pintaremontti"</f>
        <v>Pintaremontti</v>
      </c>
      <c r="E1312" t="str">
        <f t="shared" si="101"/>
        <v>viro</v>
      </c>
      <c r="F1312" t="str">
        <f>"romaanid; proosa"</f>
        <v>romaanid; proosa</v>
      </c>
      <c r="G1312" t="str">
        <f>"  täiskasvanud"</f>
        <v xml:space="preserve">  täiskasvanud</v>
      </c>
      <c r="H1312" t="str">
        <f t="shared" si="102"/>
        <v>2022</v>
      </c>
      <c r="I1312" t="str">
        <f>"Väike iluremont"</f>
        <v>Väike iluremont</v>
      </c>
      <c r="J1312" t="str">
        <f>"Aimla-Laid, Triin"</f>
        <v>Aimla-Laid, Triin</v>
      </c>
      <c r="K1312" t="str">
        <f>"Eesti Raamat, Tallinn"</f>
        <v>Eesti Raamat, Tallinn</v>
      </c>
      <c r="L1312" t="str">
        <f>""</f>
        <v/>
      </c>
      <c r="M1312" t="str">
        <f>"9789916124161"</f>
        <v>9789916124161</v>
      </c>
    </row>
    <row r="1313" spans="1:13" ht="15">
      <c r="A1313" t="s">
        <v>346</v>
      </c>
      <c r="B1313" t="str">
        <f>"18628"</f>
        <v>18628</v>
      </c>
      <c r="C1313" t="str">
        <f>"2003"</f>
        <v>2003</v>
      </c>
      <c r="D1313" t="str">
        <f>"Stalinin lehmät"</f>
        <v>Stalinin lehmät</v>
      </c>
      <c r="E1313" t="str">
        <f t="shared" si="101"/>
        <v>viro</v>
      </c>
      <c r="F1313" t="str">
        <f>"romaanid; proosa"</f>
        <v>romaanid; proosa</v>
      </c>
      <c r="G1313" t="str">
        <f>"  täiskasvanud"</f>
        <v xml:space="preserve">  täiskasvanud</v>
      </c>
      <c r="H1313" t="str">
        <f t="shared" si="102"/>
        <v>2022</v>
      </c>
      <c r="I1313" t="str">
        <f>"Stalini lehmad"</f>
        <v>Stalini lehmad</v>
      </c>
      <c r="J1313" t="str">
        <f>"Vahter, Tauno"</f>
        <v>Vahter, Tauno</v>
      </c>
      <c r="K1313" t="str">
        <f>"Varrak, Tallinn"</f>
        <v>Varrak, Tallinn</v>
      </c>
      <c r="L1313" t="str">
        <f>""</f>
        <v/>
      </c>
      <c r="M1313" t="str">
        <f>"9789985355305"</f>
        <v>9789985355305</v>
      </c>
    </row>
    <row r="1314" spans="1:13" ht="15">
      <c r="A1314" t="s">
        <v>348</v>
      </c>
      <c r="B1314" t="str">
        <f>"18740"</f>
        <v>18740</v>
      </c>
      <c r="C1314" t="str">
        <f>"2021"</f>
        <v>2021</v>
      </c>
      <c r="D1314" t="str">
        <f>"Fuck you Liivik"</f>
        <v>Fuck you Liivik</v>
      </c>
      <c r="E1314" t="str">
        <f t="shared" si="101"/>
        <v>viro</v>
      </c>
      <c r="F1314" t="str">
        <f>""</f>
        <v/>
      </c>
      <c r="G1314" t="str">
        <f>"  täiskasvanud"</f>
        <v xml:space="preserve">  täiskasvanud</v>
      </c>
      <c r="H1314" t="str">
        <f t="shared" si="102"/>
        <v>2022</v>
      </c>
      <c r="I1314" t="str">
        <f>"Fuck you Liivik"</f>
        <v>Fuck you Liivik</v>
      </c>
      <c r="J1314" t="str">
        <f>"Leek, Ave"</f>
        <v>Leek, Ave</v>
      </c>
      <c r="K1314" t="str">
        <f>"Varrak, Tallinn"</f>
        <v>Varrak, Tallinn</v>
      </c>
      <c r="L1314" t="str">
        <f>""</f>
        <v/>
      </c>
      <c r="M1314" t="str">
        <f>"9789985355633 "</f>
        <v xml:space="preserve">9789985355633 </v>
      </c>
    </row>
    <row r="1315" spans="1:13" ht="15">
      <c r="A1315" t="s">
        <v>356</v>
      </c>
      <c r="B1315" t="str">
        <f>"19097"</f>
        <v>19097</v>
      </c>
      <c r="C1315" t="str">
        <f>"1975"</f>
        <v>1975</v>
      </c>
      <c r="D1315" t="str">
        <f>"Jäniksen vuosi"</f>
        <v>Jäniksen vuosi</v>
      </c>
      <c r="E1315" t="str">
        <f t="shared" si="101"/>
        <v>viro</v>
      </c>
      <c r="F1315" t="str">
        <f>"romaanid; proosa"</f>
        <v>romaanid; proosa</v>
      </c>
      <c r="G1315" t="str">
        <f>"  täiskasvanud"</f>
        <v xml:space="preserve">  täiskasvanud</v>
      </c>
      <c r="H1315" t="str">
        <f t="shared" si="102"/>
        <v>2022</v>
      </c>
      <c r="I1315" t="str">
        <f>"Jänese aasta"</f>
        <v>Jänese aasta</v>
      </c>
      <c r="J1315" t="str">
        <f>"Kiin, Sirje"</f>
        <v>Kiin, Sirje</v>
      </c>
      <c r="K1315" t="str">
        <f>"Kultuurileht, Tallinn"</f>
        <v>Kultuurileht, Tallinn</v>
      </c>
      <c r="L1315" t="str">
        <f>"2. p."</f>
        <v>2. p.</v>
      </c>
      <c r="M1315" t="str">
        <f>"9789916616574"</f>
        <v>9789916616574</v>
      </c>
    </row>
    <row r="1316" spans="1:13" ht="15">
      <c r="A1316" t="s">
        <v>367</v>
      </c>
      <c r="B1316" t="str">
        <f>"19314"</f>
        <v>19314</v>
      </c>
      <c r="C1316" t="str">
        <f>"2020"</f>
        <v>2020</v>
      </c>
      <c r="D1316" t="str">
        <f>"Ella ja kaverit vihdoin kolmannella"</f>
        <v>Ella ja kaverit vihdoin kolmannella</v>
      </c>
      <c r="E1316" t="str">
        <f t="shared" si="101"/>
        <v>viro</v>
      </c>
      <c r="F1316" t="str">
        <f>"proosa"</f>
        <v>proosa</v>
      </c>
      <c r="G1316" t="str">
        <f>" lapsed ja noored"</f>
        <v xml:space="preserve"> lapsed ja noored</v>
      </c>
      <c r="H1316" t="str">
        <f t="shared" si="102"/>
        <v>2022</v>
      </c>
      <c r="I1316" t="str">
        <f>"Ella ja sõbrad lõpuks kolmandas"</f>
        <v>Ella ja sõbrad lõpuks kolmandas</v>
      </c>
      <c r="J1316" t="str">
        <f>"Haasma, Kadi-Riin"</f>
        <v>Haasma, Kadi-Riin</v>
      </c>
      <c r="K1316" t="str">
        <f>"Hea Lugu, Tallinn"</f>
        <v>Hea Lugu, Tallinn</v>
      </c>
      <c r="L1316" t="str">
        <f>""</f>
        <v/>
      </c>
      <c r="M1316" t="str">
        <f>"9789916646977"</f>
        <v>9789916646977</v>
      </c>
    </row>
    <row r="1317" spans="1:13" ht="15">
      <c r="A1317" t="s">
        <v>367</v>
      </c>
      <c r="B1317" t="str">
        <f>"18901"</f>
        <v>18901</v>
      </c>
      <c r="C1317" t="str">
        <f>"2021"</f>
        <v>2021</v>
      </c>
      <c r="D1317" t="str">
        <f>"Varjot. 1, Helähdys"</f>
        <v>Varjot. 1, Helähdys</v>
      </c>
      <c r="E1317" t="str">
        <f t="shared" si="101"/>
        <v>viro</v>
      </c>
      <c r="F1317" t="str">
        <f>"romaanid; fantasiakirjallisuus; põnevus- ja krimikirjandus; proosa"</f>
        <v>romaanid; fantasiakirjallisuus; põnevus- ja krimikirjandus; proosa</v>
      </c>
      <c r="G1317" t="str">
        <f>" lapsed ja noored"</f>
        <v xml:space="preserve"> lapsed ja noored</v>
      </c>
      <c r="H1317" t="str">
        <f t="shared" si="102"/>
        <v>2022</v>
      </c>
      <c r="I1317" t="str">
        <f>"Varjud. 1, Kõlin"</f>
        <v>Varjud. 1, Kõlin</v>
      </c>
      <c r="J1317" t="str">
        <f>"Aimla-Laid, Triin"</f>
        <v>Aimla-Laid, Triin</v>
      </c>
      <c r="K1317" t="str">
        <f>"Helios, Tallinn"</f>
        <v>Helios, Tallinn</v>
      </c>
      <c r="L1317" t="str">
        <f>""</f>
        <v/>
      </c>
      <c r="M1317" t="str">
        <f>"9789916711026 "</f>
        <v xml:space="preserve">9789916711026 </v>
      </c>
    </row>
    <row r="1318" spans="1:13" ht="15">
      <c r="A1318" t="s">
        <v>398</v>
      </c>
      <c r="B1318" t="str">
        <f>"19355"</f>
        <v>19355</v>
      </c>
      <c r="C1318" t="str">
        <f>"2021"</f>
        <v>2021</v>
      </c>
      <c r="D1318" t="str">
        <f>"Viimeinen vuosi : muistiinpanoja muutamista vaatekaapeista"</f>
        <v>Viimeinen vuosi : muistiinpanoja muutamista vaatekaapeista</v>
      </c>
      <c r="E1318" t="str">
        <f t="shared" si="101"/>
        <v>viro</v>
      </c>
      <c r="F1318" t="str">
        <f>""</f>
        <v/>
      </c>
      <c r="G1318" t="str">
        <f>"  täiskasvanud"</f>
        <v xml:space="preserve">  täiskasvanud</v>
      </c>
      <c r="H1318" t="str">
        <f t="shared" si="102"/>
        <v>2022</v>
      </c>
      <c r="I1318" t="str">
        <f>"Viimane aasta"</f>
        <v>Viimane aasta</v>
      </c>
      <c r="J1318" t="str">
        <f>"Tael, Triin"</f>
        <v>Tael, Triin</v>
      </c>
      <c r="K1318" t="str">
        <f>"Hea Lugu, Tallinn"</f>
        <v>Hea Lugu, Tallinn</v>
      </c>
      <c r="L1318" t="str">
        <f>""</f>
        <v/>
      </c>
      <c r="M1318" t="str">
        <f>"9789916702093"</f>
        <v>9789916702093</v>
      </c>
    </row>
    <row r="1319" spans="1:13" ht="15">
      <c r="A1319" t="s">
        <v>399</v>
      </c>
      <c r="B1319" t="str">
        <f>"19088"</f>
        <v>19088</v>
      </c>
      <c r="C1319" t="str">
        <f>"2020"</f>
        <v>2020</v>
      </c>
      <c r="D1319" t="str">
        <f>"Gorilla"</f>
        <v>Gorilla</v>
      </c>
      <c r="E1319" t="str">
        <f t="shared" si="101"/>
        <v>viro</v>
      </c>
      <c r="F1319" t="str">
        <f>"pildiraamatud"</f>
        <v>pildiraamatud</v>
      </c>
      <c r="G1319" t="str">
        <f>" lapsed ja noored"</f>
        <v xml:space="preserve"> lapsed ja noored</v>
      </c>
      <c r="H1319" t="str">
        <f t="shared" si="102"/>
        <v>2022</v>
      </c>
      <c r="I1319" t="str">
        <f>"Gorilla"</f>
        <v>Gorilla</v>
      </c>
      <c r="J1319" t="str">
        <f>"Juursoo, Lauri"</f>
        <v>Juursoo, Lauri</v>
      </c>
      <c r="K1319" t="str">
        <f>"Elust Enesest, Tallinn"</f>
        <v>Elust Enesest, Tallinn</v>
      </c>
      <c r="L1319" t="str">
        <f>""</f>
        <v/>
      </c>
      <c r="M1319" t="str">
        <f>"9789916975763 "</f>
        <v xml:space="preserve">9789916975763 </v>
      </c>
    </row>
    <row r="1320" spans="1:13" ht="15">
      <c r="A1320" t="s">
        <v>403</v>
      </c>
      <c r="B1320" t="str">
        <f>"18932"</f>
        <v>18932</v>
      </c>
      <c r="C1320" t="str">
        <f>"2021"</f>
        <v>2021</v>
      </c>
      <c r="D1320" t="str">
        <f>"Vainajat eivät vaikene"</f>
        <v>Vainajat eivät vaikene</v>
      </c>
      <c r="E1320" t="str">
        <f t="shared" si="101"/>
        <v>viro</v>
      </c>
      <c r="F1320" t="str">
        <f>"romaanid; põnevus- ja krimikirjandus; proosa"</f>
        <v>romaanid; põnevus- ja krimikirjandus; proosa</v>
      </c>
      <c r="G1320" t="str">
        <f>"  täiskasvanud"</f>
        <v xml:space="preserve">  täiskasvanud</v>
      </c>
      <c r="H1320" t="str">
        <f t="shared" si="102"/>
        <v>2022</v>
      </c>
      <c r="I1320" t="str">
        <f>"Surnud ei vaiki"</f>
        <v>Surnud ei vaiki</v>
      </c>
      <c r="J1320" t="str">
        <f>"Tallo, Toomas"</f>
        <v>Tallo, Toomas</v>
      </c>
      <c r="K1320" t="str">
        <f>"Ühinenud Ajakirjad, Tallinn"</f>
        <v>Ühinenud Ajakirjad, Tallinn</v>
      </c>
      <c r="L1320" t="str">
        <f>""</f>
        <v/>
      </c>
      <c r="M1320" t="str">
        <f>"9789916694756"</f>
        <v>9789916694756</v>
      </c>
    </row>
    <row r="1321" spans="1:13" ht="15">
      <c r="A1321" t="s">
        <v>410</v>
      </c>
      <c r="B1321" t="str">
        <f>"18932"</f>
        <v>18932</v>
      </c>
      <c r="C1321" t="str">
        <f>"2021"</f>
        <v>2021</v>
      </c>
      <c r="D1321" t="str">
        <f>"Vainajat eivät vaikene"</f>
        <v>Vainajat eivät vaikene</v>
      </c>
      <c r="E1321" t="str">
        <f t="shared" si="101"/>
        <v>viro</v>
      </c>
      <c r="F1321" t="str">
        <f>"romaanid; põnevus- ja krimikirjandus; proosa"</f>
        <v>romaanid; põnevus- ja krimikirjandus; proosa</v>
      </c>
      <c r="G1321" t="str">
        <f>"  täiskasvanud"</f>
        <v xml:space="preserve">  täiskasvanud</v>
      </c>
      <c r="H1321" t="str">
        <f t="shared" si="102"/>
        <v>2022</v>
      </c>
      <c r="I1321" t="str">
        <f>"Surnud ei vaiki"</f>
        <v>Surnud ei vaiki</v>
      </c>
      <c r="J1321" t="str">
        <f>"Tallo, Toomas"</f>
        <v>Tallo, Toomas</v>
      </c>
      <c r="K1321" t="str">
        <f>"Ühinenud Ajakirjad, Tallinn"</f>
        <v>Ühinenud Ajakirjad, Tallinn</v>
      </c>
      <c r="L1321" t="str">
        <f>""</f>
        <v/>
      </c>
      <c r="M1321" t="str">
        <f>"9789916694756"</f>
        <v>9789916694756</v>
      </c>
    </row>
    <row r="1322" spans="1:13" ht="15">
      <c r="A1322" t="s">
        <v>420</v>
      </c>
      <c r="B1322" t="str">
        <f>"18741"</f>
        <v>18741</v>
      </c>
      <c r="C1322" t="str">
        <f>"2004"</f>
        <v>2004</v>
      </c>
      <c r="D1322" t="str">
        <f>"Pussikaljaromaani"</f>
        <v>Pussikaljaromaani</v>
      </c>
      <c r="E1322" t="str">
        <f t="shared" si="101"/>
        <v>viro</v>
      </c>
      <c r="F1322" t="str">
        <f>"romaanid; proosa"</f>
        <v>romaanid; proosa</v>
      </c>
      <c r="G1322" t="str">
        <f>"  täiskasvanud"</f>
        <v xml:space="preserve">  täiskasvanud</v>
      </c>
      <c r="H1322" t="str">
        <f t="shared" si="102"/>
        <v>2022</v>
      </c>
      <c r="I1322" t="str">
        <f>"Õlleromaan "</f>
        <v xml:space="preserve">Õlleromaan </v>
      </c>
      <c r="J1322" t="str">
        <f>"Mõisnik, Mihkel"</f>
        <v>Mõisnik, Mihkel</v>
      </c>
      <c r="K1322" t="str">
        <f>"EKSA, Tallinn"</f>
        <v>EKSA, Tallinn</v>
      </c>
      <c r="L1322" t="str">
        <f>""</f>
        <v/>
      </c>
      <c r="M1322" t="str">
        <f>"9789916677155"</f>
        <v>9789916677155</v>
      </c>
    </row>
    <row r="1323" spans="1:13" ht="15">
      <c r="A1323" t="s">
        <v>449</v>
      </c>
      <c r="B1323" t="str">
        <f>"19239"</f>
        <v>19239</v>
      </c>
      <c r="C1323" t="str">
        <f>"2022"</f>
        <v>2022</v>
      </c>
      <c r="D1323" t="str">
        <f>"Pienen pieni ilves ja iso karhu"</f>
        <v>Pienen pieni ilves ja iso karhu</v>
      </c>
      <c r="E1323" t="str">
        <f t="shared" si="101"/>
        <v>viro</v>
      </c>
      <c r="F1323" t="str">
        <f>"pildiraamatud"</f>
        <v>pildiraamatud</v>
      </c>
      <c r="G1323" t="str">
        <f>" lapsed ja noored"</f>
        <v xml:space="preserve"> lapsed ja noored</v>
      </c>
      <c r="H1323" t="str">
        <f t="shared" si="102"/>
        <v>2022</v>
      </c>
      <c r="I1323" t="str">
        <f>"Tibatilluke ilves ja suur karu"</f>
        <v>Tibatilluke ilves ja suur karu</v>
      </c>
      <c r="J1323" t="str">
        <f>"Juursoo, Lauri"</f>
        <v>Juursoo, Lauri</v>
      </c>
      <c r="K1323" t="str">
        <f>"Elust Enesest, Tallinn"</f>
        <v>Elust Enesest, Tallinn</v>
      </c>
      <c r="L1323" t="str">
        <f>""</f>
        <v/>
      </c>
      <c r="M1323" t="str">
        <f>"9789916975701 "</f>
        <v xml:space="preserve">9789916975701 </v>
      </c>
    </row>
    <row r="1324" spans="1:13" ht="15">
      <c r="A1324" t="s">
        <v>455</v>
      </c>
      <c r="B1324" t="str">
        <f>"18600"</f>
        <v>18600</v>
      </c>
      <c r="C1324" t="str">
        <f>"2021"</f>
        <v>2021</v>
      </c>
      <c r="D1324" t="str">
        <f>"Asfalttia!"</f>
        <v>Asfalttia!</v>
      </c>
      <c r="E1324" t="str">
        <f t="shared" si="101"/>
        <v>viro</v>
      </c>
      <c r="F1324" t="str">
        <f>"pildiraamatud"</f>
        <v>pildiraamatud</v>
      </c>
      <c r="G1324" t="str">
        <f>" lapsed ja noored"</f>
        <v xml:space="preserve"> lapsed ja noored</v>
      </c>
      <c r="H1324" t="str">
        <f t="shared" si="102"/>
        <v>2022</v>
      </c>
      <c r="I1324" t="str">
        <f>"Asfalt!"</f>
        <v>Asfalt!</v>
      </c>
      <c r="J1324" t="str">
        <f>"Salumets-Tutt, Laura "</f>
        <v xml:space="preserve">Salumets-Tutt, Laura </v>
      </c>
      <c r="K1324" t="str">
        <f>"Helios, Tallinn"</f>
        <v>Helios, Tallinn</v>
      </c>
      <c r="L1324" t="str">
        <f>""</f>
        <v/>
      </c>
      <c r="M1324" t="str">
        <f>"9789916656600"</f>
        <v>9789916656600</v>
      </c>
    </row>
    <row r="1325" spans="1:13" ht="15">
      <c r="A1325" t="s">
        <v>456</v>
      </c>
      <c r="B1325" t="str">
        <f>"17565"</f>
        <v>17565</v>
      </c>
      <c r="C1325" t="str">
        <f>"2020"</f>
        <v>2020</v>
      </c>
      <c r="D1325" t="str">
        <f>"Pahan verkko"</f>
        <v>Pahan verkko</v>
      </c>
      <c r="E1325" t="str">
        <f t="shared" si="101"/>
        <v>viro</v>
      </c>
      <c r="F1325" t="str">
        <f>"romaanid; põnevus- ja krimikirjandus; proosa"</f>
        <v>romaanid; põnevus- ja krimikirjandus; proosa</v>
      </c>
      <c r="G1325" t="str">
        <f>"  täiskasvanud"</f>
        <v xml:space="preserve">  täiskasvanud</v>
      </c>
      <c r="H1325" t="str">
        <f t="shared" si="102"/>
        <v>2022</v>
      </c>
      <c r="I1325" t="str">
        <f>"Kurjuse võrgus"</f>
        <v>Kurjuse võrgus</v>
      </c>
      <c r="J1325" t="str">
        <f>"Aimla-Laid, Triin"</f>
        <v>Aimla-Laid, Triin</v>
      </c>
      <c r="K1325" t="str">
        <f>"Pegasus, Tallinn"</f>
        <v>Pegasus, Tallinn</v>
      </c>
      <c r="L1325" t="str">
        <f>""</f>
        <v/>
      </c>
      <c r="M1325" t="str">
        <f>"9789916160985"</f>
        <v>9789916160985</v>
      </c>
    </row>
    <row r="1326" spans="1:13" ht="15">
      <c r="A1326" t="s">
        <v>468</v>
      </c>
      <c r="B1326" t="str">
        <f>"17755"</f>
        <v>17755</v>
      </c>
      <c r="C1326" t="str">
        <f>"2020"</f>
        <v>2020</v>
      </c>
      <c r="D1326" t="str">
        <f>"Lukitut"</f>
        <v>Lukitut</v>
      </c>
      <c r="E1326" t="str">
        <f t="shared" si="101"/>
        <v>viro</v>
      </c>
      <c r="F1326" t="str">
        <f>"romaanid; proosa"</f>
        <v>romaanid; proosa</v>
      </c>
      <c r="G1326" t="str">
        <f>" lapsed ja noored"</f>
        <v xml:space="preserve"> lapsed ja noored</v>
      </c>
      <c r="H1326" t="str">
        <f t="shared" si="102"/>
        <v>2022</v>
      </c>
      <c r="I1326" t="str">
        <f>"Vangistatud"</f>
        <v>Vangistatud</v>
      </c>
      <c r="J1326" t="str">
        <f>"Jaanits, Kadri"</f>
        <v>Jaanits, Kadri</v>
      </c>
      <c r="K1326" t="str">
        <f>"Pegasus, Tallinn"</f>
        <v>Pegasus, Tallinn</v>
      </c>
      <c r="L1326" t="str">
        <f>""</f>
        <v/>
      </c>
      <c r="M1326" t="str">
        <f>"9789916162507"</f>
        <v>9789916162507</v>
      </c>
    </row>
    <row r="1327" spans="1:13" ht="15">
      <c r="A1327" t="s">
        <v>470</v>
      </c>
      <c r="B1327" t="str">
        <f>"19237"</f>
        <v>19237</v>
      </c>
      <c r="C1327" t="str">
        <f>"2020"</f>
        <v>2020</v>
      </c>
      <c r="D1327" t="str">
        <f>"Kuun valossa"</f>
        <v>Kuun valossa</v>
      </c>
      <c r="E1327" t="str">
        <f t="shared" si="101"/>
        <v>viro</v>
      </c>
      <c r="F1327" t="str">
        <f>"pildiraamatud"</f>
        <v>pildiraamatud</v>
      </c>
      <c r="G1327" t="str">
        <f>" lapsed ja noored"</f>
        <v xml:space="preserve"> lapsed ja noored</v>
      </c>
      <c r="H1327" t="str">
        <f aca="true" t="shared" si="103" ref="H1327:H1334">"2022"</f>
        <v>2022</v>
      </c>
      <c r="I1327" t="str">
        <f>"Kuuvalgus "</f>
        <v xml:space="preserve">Kuuvalgus </v>
      </c>
      <c r="J1327" t="str">
        <f>"Oidekivi, Dea"</f>
        <v>Oidekivi, Dea</v>
      </c>
      <c r="K1327" t="str">
        <f>"Rahva Raamat, Tallinn"</f>
        <v>Rahva Raamat, Tallinn</v>
      </c>
      <c r="L1327" t="str">
        <f>""</f>
        <v/>
      </c>
      <c r="M1327" t="str">
        <f>"9789916140451 "</f>
        <v xml:space="preserve">9789916140451 </v>
      </c>
    </row>
    <row r="1328" spans="1:13" ht="15">
      <c r="A1328" t="s">
        <v>494</v>
      </c>
      <c r="B1328" t="str">
        <f>"19082"</f>
        <v>19082</v>
      </c>
      <c r="C1328" t="str">
        <f>"2021"</f>
        <v>2021</v>
      </c>
      <c r="D1328" t="str">
        <f>"Kävin vaan uimassa, sisko"</f>
        <v>Kävin vaan uimassa, sisko</v>
      </c>
      <c r="E1328" t="str">
        <f t="shared" si="101"/>
        <v>viro</v>
      </c>
      <c r="F1328" t="str">
        <f>"romaanid; proosa"</f>
        <v>romaanid; proosa</v>
      </c>
      <c r="G1328" t="str">
        <f>"  täiskasvanud"</f>
        <v xml:space="preserve">  täiskasvanud</v>
      </c>
      <c r="H1328" t="str">
        <f t="shared" si="103"/>
        <v>2022</v>
      </c>
      <c r="I1328" t="str">
        <f>"Käisin vaid ujumas, õde"</f>
        <v>Käisin vaid ujumas, õde</v>
      </c>
      <c r="J1328" t="str">
        <f>"Vaht, Elle"</f>
        <v>Vaht, Elle</v>
      </c>
      <c r="K1328" t="str">
        <f>"Sinisukk, Tallinn"</f>
        <v>Sinisukk, Tallinn</v>
      </c>
      <c r="L1328" t="str">
        <f>""</f>
        <v/>
      </c>
      <c r="M1328" t="str">
        <f>"978-9949-08-235-3"</f>
        <v>978-9949-08-235-3</v>
      </c>
    </row>
    <row r="1329" spans="1:13" ht="15">
      <c r="A1329" t="s">
        <v>505</v>
      </c>
      <c r="B1329" t="str">
        <f>"19575"</f>
        <v>19575</v>
      </c>
      <c r="C1329" t="str">
        <f>"2015"</f>
        <v>2015</v>
      </c>
      <c r="D1329" t="str">
        <f>"Stockmann Yard : myymäläetsivän muistelmat"</f>
        <v>Stockmann Yard : myymäläetsivän muistelmat</v>
      </c>
      <c r="E1329" t="str">
        <f t="shared" si="101"/>
        <v>viro</v>
      </c>
      <c r="F1329" t="str">
        <f>""</f>
        <v/>
      </c>
      <c r="G1329" t="str">
        <f>"  täiskasvanud"</f>
        <v xml:space="preserve">  täiskasvanud</v>
      </c>
      <c r="H1329" t="str">
        <f t="shared" si="103"/>
        <v>2022</v>
      </c>
      <c r="I1329" t="str">
        <f>"Stockmann Yard"</f>
        <v>Stockmann Yard</v>
      </c>
      <c r="J1329" t="str">
        <f>"Krell, Märt"</f>
        <v>Krell, Märt</v>
      </c>
      <c r="K1329" t="str">
        <f>"Tänapäev, Tallinn"</f>
        <v>Tänapäev, Tallinn</v>
      </c>
      <c r="L1329" t="str">
        <f>""</f>
        <v/>
      </c>
      <c r="M1329" t="str">
        <f>"9789916172360"</f>
        <v>9789916172360</v>
      </c>
    </row>
    <row r="1330" spans="1:13" ht="15">
      <c r="A1330" t="s">
        <v>518</v>
      </c>
      <c r="B1330" t="str">
        <f>"17715"</f>
        <v>17715</v>
      </c>
      <c r="C1330" t="str">
        <f>"2016"</f>
        <v>2016</v>
      </c>
      <c r="D1330" t="str">
        <f>"Mörköreitti"</f>
        <v>Mörköreitti</v>
      </c>
      <c r="E1330" t="str">
        <f t="shared" si="101"/>
        <v>viro</v>
      </c>
      <c r="F1330" t="str">
        <f>"proosa"</f>
        <v>proosa</v>
      </c>
      <c r="G1330" t="str">
        <f>" lapsed ja noored"</f>
        <v xml:space="preserve"> lapsed ja noored</v>
      </c>
      <c r="H1330" t="str">
        <f t="shared" si="103"/>
        <v>2022</v>
      </c>
      <c r="I1330" t="str">
        <f>"Kollitunnel"</f>
        <v>Kollitunnel</v>
      </c>
      <c r="J1330" t="str">
        <f>"Leek, Ave"</f>
        <v>Leek, Ave</v>
      </c>
      <c r="K1330" t="str">
        <f>"Tiritamm, Tallinn"</f>
        <v>Tiritamm, Tallinn</v>
      </c>
      <c r="L1330" t="str">
        <f>""</f>
        <v/>
      </c>
      <c r="M1330" t="str">
        <f>"978-9985-55-343-5"</f>
        <v>978-9985-55-343-5</v>
      </c>
    </row>
    <row r="1331" spans="1:13" ht="15">
      <c r="A1331" t="s">
        <v>522</v>
      </c>
      <c r="B1331" t="str">
        <f>"18676"</f>
        <v>18676</v>
      </c>
      <c r="C1331" t="str">
        <f>"2021"</f>
        <v>2021</v>
      </c>
      <c r="D1331" t="str">
        <f>"Hirvikaava"</f>
        <v>Hirvikaava</v>
      </c>
      <c r="E1331" t="str">
        <f t="shared" si="101"/>
        <v>viro</v>
      </c>
      <c r="F1331" t="str">
        <f>"romaanid; põnevus- ja krimikirjandus; proosa"</f>
        <v>romaanid; põnevus- ja krimikirjandus; proosa</v>
      </c>
      <c r="G1331" t="str">
        <f>"  täiskasvanud"</f>
        <v xml:space="preserve">  täiskasvanud</v>
      </c>
      <c r="H1331" t="str">
        <f t="shared" si="103"/>
        <v>2022</v>
      </c>
      <c r="I1331" t="str">
        <f>"Põdravalem"</f>
        <v>Põdravalem</v>
      </c>
      <c r="J1331" t="str">
        <f>"Mõisnik, Mihkel"</f>
        <v>Mõisnik, Mihkel</v>
      </c>
      <c r="K1331" t="str">
        <f>"Varrak, Tallinn"</f>
        <v>Varrak, Tallinn</v>
      </c>
      <c r="L1331" t="str">
        <f>""</f>
        <v/>
      </c>
      <c r="M1331" t="str">
        <f>"9789985354636"</f>
        <v>9789985354636</v>
      </c>
    </row>
    <row r="1332" spans="1:13" ht="15">
      <c r="A1332" t="s">
        <v>528</v>
      </c>
      <c r="B1332" t="str">
        <f>"18692"</f>
        <v>18692</v>
      </c>
      <c r="C1332" t="str">
        <f>"2021"</f>
        <v>2021</v>
      </c>
      <c r="D1332" t="str">
        <f>"Järjettömiä asioita"</f>
        <v>Järjettömiä asioita</v>
      </c>
      <c r="E1332" t="str">
        <f t="shared" si="101"/>
        <v>viro</v>
      </c>
      <c r="F1332" t="str">
        <f>"romaanid; proosa"</f>
        <v>romaanid; proosa</v>
      </c>
      <c r="G1332" t="str">
        <f>"  täiskasvanud"</f>
        <v xml:space="preserve">  täiskasvanud</v>
      </c>
      <c r="H1332" t="str">
        <f t="shared" si="103"/>
        <v>2022</v>
      </c>
      <c r="I1332" t="str">
        <f>"Arulagedad asjad"</f>
        <v>Arulagedad asjad</v>
      </c>
      <c r="J1332" t="str">
        <f>"Lemendik, Helena"</f>
        <v>Lemendik, Helena</v>
      </c>
      <c r="K1332" t="str">
        <f>"Eesti Ekspress Raamat, Tallinn"</f>
        <v>Eesti Ekspress Raamat, Tallinn</v>
      </c>
      <c r="L1332" t="str">
        <f>""</f>
        <v/>
      </c>
      <c r="M1332" t="str">
        <f>"9789916123539"</f>
        <v>9789916123539</v>
      </c>
    </row>
    <row r="1333" spans="1:13" ht="15">
      <c r="A1333" t="s">
        <v>538</v>
      </c>
      <c r="B1333" t="str">
        <f>"18956"</f>
        <v>18956</v>
      </c>
      <c r="C1333" t="str">
        <f>"2021"</f>
        <v>2021</v>
      </c>
      <c r="D1333" t="str">
        <f>"Sinun, Margot"</f>
        <v>Sinun, Margot</v>
      </c>
      <c r="E1333" t="str">
        <f t="shared" si="101"/>
        <v>viro</v>
      </c>
      <c r="F1333" t="str">
        <f>"romaanid; proosa"</f>
        <v>romaanid; proosa</v>
      </c>
      <c r="G1333" t="str">
        <f>"  täiskasvanud"</f>
        <v xml:space="preserve">  täiskasvanud</v>
      </c>
      <c r="H1333" t="str">
        <f t="shared" si="103"/>
        <v>2022</v>
      </c>
      <c r="I1333" t="str">
        <f>"Sinu Margot"</f>
        <v>Sinu Margot</v>
      </c>
      <c r="J1333" t="str">
        <f>"Pääsuke, Piret"</f>
        <v>Pääsuke, Piret</v>
      </c>
      <c r="K1333" t="str">
        <f>"Hea Lugu, Tallinn"</f>
        <v>Hea Lugu, Tallinn</v>
      </c>
      <c r="L1333" t="str">
        <f>""</f>
        <v/>
      </c>
      <c r="M1333" t="str">
        <f>"9789916702659"</f>
        <v>9789916702659</v>
      </c>
    </row>
    <row r="1334" spans="1:13" ht="15">
      <c r="A1334" t="s">
        <v>550</v>
      </c>
      <c r="B1334" t="str">
        <f>"19195"</f>
        <v>19195</v>
      </c>
      <c r="C1334" t="str">
        <f>"2019"</f>
        <v>2019</v>
      </c>
      <c r="D1334" t="str">
        <f>"Hilja ja operaatio joulun taika"</f>
        <v>Hilja ja operaatio joulun taika</v>
      </c>
      <c r="E1334" t="str">
        <f t="shared" si="101"/>
        <v>viro</v>
      </c>
      <c r="F1334" t="str">
        <f>"proosa"</f>
        <v>proosa</v>
      </c>
      <c r="G1334" t="str">
        <f>" lapsed ja noored"</f>
        <v xml:space="preserve"> lapsed ja noored</v>
      </c>
      <c r="H1334" t="str">
        <f t="shared" si="103"/>
        <v>2022</v>
      </c>
      <c r="I1334" t="str">
        <f>"Hilja ja operatsioon Jõuluime"</f>
        <v>Hilja ja operatsioon Jõuluime</v>
      </c>
      <c r="J1334" t="str">
        <f>"Lemendik, Helena"</f>
        <v>Lemendik, Helena</v>
      </c>
      <c r="K1334" t="str">
        <f>"Eesti Raamat, Tallinn"</f>
        <v>Eesti Raamat, Tallinn</v>
      </c>
      <c r="L1334" t="str">
        <f>""</f>
        <v/>
      </c>
      <c r="M1334" t="str">
        <f>"9789916125267 "</f>
        <v xml:space="preserve">9789916125267 </v>
      </c>
    </row>
  </sheetData>
  <autoFilter ref="K1:K1336"/>
  <hyperlinks>
    <hyperlink ref="J1149" r:id="rId1" display="https://rahvaraamat.ee/a/translators/maarja-aaloe/1467434/et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Peep Ehasalu</dc:creator>
  <cp:keywords/>
  <dc:description/>
  <cp:lastModifiedBy>Peep Ehasalu</cp:lastModifiedBy>
  <dcterms:created xsi:type="dcterms:W3CDTF">2023-02-08T12:51:32Z</dcterms:created>
  <dcterms:modified xsi:type="dcterms:W3CDTF">2023-04-10T15:24:28Z</dcterms:modified>
  <cp:category/>
  <cp:version/>
  <cp:contentType/>
  <cp:contentStatus/>
</cp:coreProperties>
</file>